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8.23.31\業務課\★総括チーム\消費税改正関係（８％→１０％）\HP\"/>
    </mc:Choice>
  </mc:AlternateContent>
  <workbookProtection workbookAlgorithmName="SHA-512" workbookHashValue="RltUHifPbReYXDo1DE/mDVNs2TzqK/uhAWLiq6CIITIvDAFHIJ5HyRcpiw4drAoxQJvaq7ga7F6VeROyEeUOUw==" workbookSaltValue="16z6I+Y/1inJwN5D4xYwOQ==" workbookSpinCount="100000" lockStructure="1"/>
  <bookViews>
    <workbookView xWindow="0" yWindow="0" windowWidth="20730" windowHeight="11760"/>
  </bookViews>
  <sheets>
    <sheet name="西宮市上下水道局" sheetId="1" r:id="rId1"/>
  </sheets>
  <definedNames>
    <definedName name="_xlnm.Print_Area" localSheetId="0">西宮市上下水道局!$A$1:$F$32</definedName>
  </definedNames>
  <calcPr calcId="162913"/>
</workbook>
</file>

<file path=xl/calcChain.xml><?xml version="1.0" encoding="utf-8"?>
<calcChain xmlns="http://schemas.openxmlformats.org/spreadsheetml/2006/main">
  <c r="AC4" i="1" l="1"/>
  <c r="AA4" i="1"/>
  <c r="C8" i="1" l="1"/>
  <c r="D3" i="1"/>
  <c r="F8" i="1" l="1"/>
  <c r="D9" i="1"/>
  <c r="AA12" i="1"/>
  <c r="D7" i="1" s="1"/>
  <c r="AA8" i="1" l="1"/>
  <c r="AE6" i="1" s="1"/>
  <c r="AM13" i="1" l="1"/>
  <c r="AP44" i="1"/>
  <c r="AK43" i="1"/>
  <c r="AP43" i="1" s="1"/>
  <c r="AP30" i="1"/>
  <c r="AA6" i="1"/>
  <c r="AC14" i="1"/>
  <c r="AE4" i="1" s="1"/>
  <c r="AE14" i="1" s="1"/>
  <c r="AF7" i="1" l="1"/>
  <c r="AN35" i="1"/>
  <c r="AS35" i="1" s="1"/>
  <c r="AN42" i="1"/>
  <c r="AS42" i="1" s="1"/>
  <c r="AN40" i="1"/>
  <c r="AS40" i="1" s="1"/>
  <c r="AN38" i="1"/>
  <c r="AS38" i="1" s="1"/>
  <c r="AN36" i="1"/>
  <c r="AS36" i="1" s="1"/>
  <c r="AN43" i="1"/>
  <c r="AS43" i="1" s="1"/>
  <c r="AN41" i="1"/>
  <c r="AS41" i="1" s="1"/>
  <c r="AN39" i="1"/>
  <c r="AS39" i="1" s="1"/>
  <c r="AN37" i="1"/>
  <c r="AS37" i="1" s="1"/>
  <c r="AN44" i="1"/>
  <c r="AS44" i="1" s="1"/>
  <c r="AE15" i="1"/>
  <c r="AE19" i="1"/>
  <c r="AN27" i="1"/>
  <c r="AS27" i="1" s="1"/>
  <c r="AN29" i="1"/>
  <c r="AS29" i="1" s="1"/>
  <c r="AN26" i="1"/>
  <c r="AS26" i="1" s="1"/>
  <c r="AN28" i="1"/>
  <c r="AS28" i="1" s="1"/>
  <c r="AN30" i="1"/>
  <c r="AS30" i="1" s="1"/>
  <c r="AK28" i="1"/>
  <c r="AP28" i="1" s="1"/>
  <c r="AK36" i="1"/>
  <c r="AP36" i="1" s="1"/>
  <c r="AK40" i="1"/>
  <c r="AP40" i="1" s="1"/>
  <c r="AK38" i="1"/>
  <c r="AP38" i="1" s="1"/>
  <c r="AK42" i="1"/>
  <c r="AP42" i="1" s="1"/>
  <c r="AK35" i="1"/>
  <c r="AP35" i="1" s="1"/>
  <c r="AK37" i="1"/>
  <c r="AP37" i="1" s="1"/>
  <c r="AK39" i="1"/>
  <c r="AP39" i="1" s="1"/>
  <c r="AK41" i="1"/>
  <c r="AP41" i="1" s="1"/>
  <c r="AE10" i="1"/>
  <c r="AK29" i="1"/>
  <c r="AP29" i="1" s="1"/>
  <c r="AK26" i="1"/>
  <c r="AL26" i="1" s="1"/>
  <c r="AK27" i="1"/>
  <c r="AP27" i="1" s="1"/>
  <c r="AG6" i="1" l="1"/>
  <c r="AF10" i="1"/>
  <c r="AF11" i="1"/>
  <c r="AF6" i="1"/>
  <c r="AG10" i="1"/>
  <c r="AQ35" i="1"/>
  <c r="AR35" i="1" s="1"/>
  <c r="AT35" i="1" s="1"/>
  <c r="AL35" i="1"/>
  <c r="AM35" i="1" s="1"/>
  <c r="AO35" i="1" s="1"/>
  <c r="AM26" i="1"/>
  <c r="AL27" i="1"/>
  <c r="AM27" i="1" s="1"/>
  <c r="AP26" i="1"/>
  <c r="AQ26" i="1" s="1"/>
  <c r="AR26" i="1" s="1"/>
  <c r="AT26" i="1" s="1"/>
  <c r="AF15" i="1" l="1"/>
  <c r="AF20" i="1"/>
  <c r="AF19" i="1"/>
  <c r="AF16" i="1"/>
  <c r="AG19" i="1"/>
  <c r="AK7" i="1" s="1"/>
  <c r="AL7" i="1" s="1"/>
  <c r="D23" i="1" s="1"/>
  <c r="AG15" i="1"/>
  <c r="AQ36" i="1"/>
  <c r="AQ37" i="1" s="1"/>
  <c r="AL36" i="1"/>
  <c r="AM36" i="1" s="1"/>
  <c r="AO36" i="1" s="1"/>
  <c r="AQ27" i="1"/>
  <c r="AQ28" i="1" s="1"/>
  <c r="AQ29" i="1" s="1"/>
  <c r="AR30" i="1" s="1"/>
  <c r="AT30" i="1" s="1"/>
  <c r="AL28" i="1"/>
  <c r="AL29" i="1" s="1"/>
  <c r="AM30" i="1" s="1"/>
  <c r="AO26" i="1"/>
  <c r="AK5" i="1" l="1"/>
  <c r="AL5" i="1" s="1"/>
  <c r="D18" i="1" s="1"/>
  <c r="AR36" i="1"/>
  <c r="AT36" i="1" s="1"/>
  <c r="AR27" i="1"/>
  <c r="AT27" i="1" s="1"/>
  <c r="AL37" i="1"/>
  <c r="AR28" i="1"/>
  <c r="AT28" i="1" s="1"/>
  <c r="AQ38" i="1"/>
  <c r="AR37" i="1"/>
  <c r="AT37" i="1" s="1"/>
  <c r="AO30" i="1"/>
  <c r="AM28" i="1"/>
  <c r="AO28" i="1" s="1"/>
  <c r="AO27" i="1"/>
  <c r="AR29" i="1"/>
  <c r="AT29" i="1" s="1"/>
  <c r="AM29" i="1"/>
  <c r="AO29" i="1" s="1"/>
  <c r="AM37" i="1" l="1"/>
  <c r="AO37" i="1" s="1"/>
  <c r="AL38" i="1"/>
  <c r="AO31" i="1"/>
  <c r="AE7" i="1" s="1"/>
  <c r="AQ39" i="1"/>
  <c r="AR38" i="1"/>
  <c r="AT38" i="1" s="1"/>
  <c r="AR31" i="1"/>
  <c r="AT31" i="1"/>
  <c r="AM31" i="1"/>
  <c r="AE16" i="1" l="1"/>
  <c r="AG16" i="1" s="1"/>
  <c r="AG17" i="1" s="1"/>
  <c r="AM38" i="1"/>
  <c r="AO38" i="1" s="1"/>
  <c r="AL39" i="1"/>
  <c r="AG7" i="1"/>
  <c r="AQ40" i="1"/>
  <c r="AR40" i="1" s="1"/>
  <c r="AT40" i="1" s="1"/>
  <c r="AR39" i="1"/>
  <c r="AK6" i="1" l="1"/>
  <c r="D19" i="1" s="1"/>
  <c r="D20" i="1" s="1"/>
  <c r="AM39" i="1"/>
  <c r="AO39" i="1" s="1"/>
  <c r="AL40" i="1"/>
  <c r="AG8" i="1"/>
  <c r="AT39" i="1"/>
  <c r="AQ41" i="1"/>
  <c r="AR41" i="1" s="1"/>
  <c r="AT41" i="1" s="1"/>
  <c r="D21" i="1" l="1"/>
  <c r="D17" i="1" s="1"/>
  <c r="AM5" i="1"/>
  <c r="AM40" i="1"/>
  <c r="AO40" i="1" s="1"/>
  <c r="AL41" i="1"/>
  <c r="AQ42" i="1"/>
  <c r="AR42" i="1" s="1"/>
  <c r="AT42" i="1" s="1"/>
  <c r="AM41" i="1" l="1"/>
  <c r="AO41" i="1" s="1"/>
  <c r="AL42" i="1"/>
  <c r="AQ43" i="1"/>
  <c r="AR44" i="1" s="1"/>
  <c r="AT44" i="1" s="1"/>
  <c r="AM42" i="1" l="1"/>
  <c r="AL43" i="1"/>
  <c r="AR43" i="1"/>
  <c r="AO42" i="1" l="1"/>
  <c r="AM43" i="1"/>
  <c r="AO43" i="1" s="1"/>
  <c r="AM44" i="1"/>
  <c r="AO44" i="1" s="1"/>
  <c r="AT43" i="1"/>
  <c r="AT45" i="1" s="1"/>
  <c r="AE20" i="1" s="1"/>
  <c r="AG20" i="1" s="1"/>
  <c r="AR45" i="1"/>
  <c r="AO45" i="1" l="1"/>
  <c r="AM45" i="1"/>
  <c r="AG21" i="1"/>
  <c r="AE11" i="1" l="1"/>
  <c r="AG11" i="1" s="1"/>
  <c r="AG12" i="1" l="1"/>
  <c r="AK8" i="1"/>
  <c r="D24" i="1" s="1"/>
  <c r="D25" i="1" s="1"/>
  <c r="D26" i="1" s="1"/>
  <c r="D22" i="1" s="1"/>
  <c r="C27" i="1" s="1"/>
  <c r="AM7" i="1" l="1"/>
</calcChain>
</file>

<file path=xl/comments1.xml><?xml version="1.0" encoding="utf-8"?>
<comments xmlns="http://schemas.openxmlformats.org/spreadsheetml/2006/main">
  <authors>
    <author>西宮市</author>
  </authors>
  <commentList>
    <comment ref="AA14" authorId="0" shapeId="0">
      <text>
        <r>
          <rPr>
            <sz val="11"/>
            <color indexed="81"/>
            <rFont val="ＭＳ Ｐゴシック"/>
            <family val="3"/>
            <charset val="128"/>
          </rPr>
          <t>通常は戸数「1」を入力してください。
※戸数が「2以上」の場合は、
用途「一般用」、口径「20mm」で
戸数計算を行います。</t>
        </r>
      </text>
    </comment>
  </commentList>
</comments>
</file>

<file path=xl/sharedStrings.xml><?xml version="1.0" encoding="utf-8"?>
<sst xmlns="http://schemas.openxmlformats.org/spreadsheetml/2006/main" count="165" uniqueCount="95">
  <si>
    <t>戸数計算算定エリア</t>
    <rPh sb="0" eb="2">
      <t>コスウ</t>
    </rPh>
    <rPh sb="2" eb="4">
      <t>ケイサン</t>
    </rPh>
    <rPh sb="4" eb="6">
      <t>サンテイ</t>
    </rPh>
    <phoneticPr fontId="2"/>
  </si>
  <si>
    <t>㎥</t>
    <phoneticPr fontId="2"/>
  </si>
  <si>
    <t>件</t>
    <rPh sb="0" eb="1">
      <t>ケン</t>
    </rPh>
    <phoneticPr fontId="2"/>
  </si>
  <si>
    <t>水道料金</t>
    <rPh sb="0" eb="2">
      <t>スイドウ</t>
    </rPh>
    <rPh sb="2" eb="4">
      <t>リョウキン</t>
    </rPh>
    <phoneticPr fontId="2"/>
  </si>
  <si>
    <t>水道</t>
    <rPh sb="0" eb="2">
      <t>スイドウ</t>
    </rPh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</si>
  <si>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</si>
  <si>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</si>
  <si>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下水道</t>
    <rPh sb="0" eb="2">
      <t>ゲスイ</t>
    </rPh>
    <rPh sb="2" eb="3">
      <t>ドウ</t>
    </rPh>
    <phoneticPr fontId="2"/>
  </si>
  <si>
    <t>基本額</t>
    <rPh sb="0" eb="2">
      <t>キホン</t>
    </rPh>
    <rPh sb="2" eb="3">
      <t>ガク</t>
    </rPh>
    <phoneticPr fontId="2"/>
  </si>
  <si>
    <t>従量額</t>
    <rPh sb="0" eb="2">
      <t>ジュウリョウ</t>
    </rPh>
    <rPh sb="2" eb="3">
      <t>ガク</t>
    </rPh>
    <phoneticPr fontId="2"/>
  </si>
  <si>
    <t>21～30㎥</t>
  </si>
  <si>
    <t>31～100㎥</t>
  </si>
  <si>
    <t>101㎥～</t>
  </si>
  <si>
    <t>11～20㎥</t>
    <phoneticPr fontId="2"/>
  </si>
  <si>
    <t>1～10㎥</t>
    <phoneticPr fontId="2"/>
  </si>
  <si>
    <t>段階</t>
    <rPh sb="0" eb="2">
      <t>ダンカイ</t>
    </rPh>
    <phoneticPr fontId="2"/>
  </si>
  <si>
    <t>一般用</t>
    <rPh sb="0" eb="3">
      <t>イッパンヨウ</t>
    </rPh>
    <phoneticPr fontId="2"/>
  </si>
  <si>
    <t>特殊用</t>
    <rPh sb="0" eb="2">
      <t>トクシュ</t>
    </rPh>
    <rPh sb="2" eb="3">
      <t>ヨウ</t>
    </rPh>
    <phoneticPr fontId="2"/>
  </si>
  <si>
    <t>浴場用</t>
    <rPh sb="0" eb="3">
      <t>ヨクジョウヨウ</t>
    </rPh>
    <phoneticPr fontId="2"/>
  </si>
  <si>
    <t>間隔</t>
    <rPh sb="0" eb="2">
      <t>カンカク</t>
    </rPh>
    <phoneticPr fontId="2"/>
  </si>
  <si>
    <t>∞</t>
    <phoneticPr fontId="2"/>
  </si>
  <si>
    <t>～25ﾐﾘ</t>
    <phoneticPr fontId="2"/>
  </si>
  <si>
    <t>30ﾐﾘ～</t>
    <phoneticPr fontId="2"/>
  </si>
  <si>
    <t>適用単価</t>
    <rPh sb="0" eb="2">
      <t>テキヨウ</t>
    </rPh>
    <rPh sb="2" eb="4">
      <t>タンカ</t>
    </rPh>
    <phoneticPr fontId="2"/>
  </si>
  <si>
    <t>料金</t>
    <rPh sb="0" eb="2">
      <t>リョウキン</t>
    </rPh>
    <phoneticPr fontId="2"/>
  </si>
  <si>
    <t>残水量</t>
    <rPh sb="0" eb="1">
      <t>ザン</t>
    </rPh>
    <rPh sb="1" eb="3">
      <t>スイリョウ</t>
    </rPh>
    <phoneticPr fontId="2"/>
  </si>
  <si>
    <t>合計</t>
    <rPh sb="0" eb="2">
      <t>ゴウケイ</t>
    </rPh>
    <phoneticPr fontId="2"/>
  </si>
  <si>
    <t>甲</t>
    <rPh sb="0" eb="1">
      <t>コウ</t>
    </rPh>
    <phoneticPr fontId="2"/>
  </si>
  <si>
    <t>乙</t>
    <rPh sb="0" eb="1">
      <t>オツ</t>
    </rPh>
    <phoneticPr fontId="2"/>
  </si>
  <si>
    <t>下水</t>
    <rPh sb="0" eb="2">
      <t>ゲスイ</t>
    </rPh>
    <phoneticPr fontId="2"/>
  </si>
  <si>
    <t>その他</t>
    <rPh sb="2" eb="3">
      <t>タ</t>
    </rPh>
    <phoneticPr fontId="2"/>
  </si>
  <si>
    <t>10,001㎥以上</t>
    <rPh sb="7" eb="9">
      <t>イジョウ</t>
    </rPh>
    <phoneticPr fontId="2"/>
  </si>
  <si>
    <t>11㎥～30㎥</t>
    <phoneticPr fontId="2"/>
  </si>
  <si>
    <t>31㎥～50㎥</t>
    <phoneticPr fontId="2"/>
  </si>
  <si>
    <t>51㎥～100㎥</t>
    <phoneticPr fontId="2"/>
  </si>
  <si>
    <t>101㎥～200㎥</t>
    <phoneticPr fontId="2"/>
  </si>
  <si>
    <t>201㎥～600㎥</t>
    <phoneticPr fontId="2"/>
  </si>
  <si>
    <t>601㎥～1,000㎥</t>
    <phoneticPr fontId="2"/>
  </si>
  <si>
    <t>1,001㎥～5,000㎥</t>
    <phoneticPr fontId="2"/>
  </si>
  <si>
    <t>5,001㎥～10,000㎥</t>
    <phoneticPr fontId="2"/>
  </si>
  <si>
    <t>浴場用</t>
    <rPh sb="0" eb="2">
      <t>ヨクジョウ</t>
    </rPh>
    <rPh sb="2" eb="3">
      <t>ヨウ</t>
    </rPh>
    <phoneticPr fontId="2"/>
  </si>
  <si>
    <t>水量張付</t>
    <rPh sb="0" eb="2">
      <t>スイリョウ</t>
    </rPh>
    <rPh sb="2" eb="3">
      <t>ハ</t>
    </rPh>
    <rPh sb="3" eb="4">
      <t>ツ</t>
    </rPh>
    <phoneticPr fontId="2"/>
  </si>
  <si>
    <t>使用料</t>
    <rPh sb="0" eb="3">
      <t>シヨウリョウ</t>
    </rPh>
    <phoneticPr fontId="2"/>
  </si>
  <si>
    <t>日割</t>
    <rPh sb="0" eb="2">
      <t>ヒワリ</t>
    </rPh>
    <phoneticPr fontId="2"/>
  </si>
  <si>
    <t>日割計算エリア</t>
    <rPh sb="0" eb="2">
      <t>ヒワリ</t>
    </rPh>
    <rPh sb="2" eb="4">
      <t>ケイサン</t>
    </rPh>
    <phoneticPr fontId="2"/>
  </si>
  <si>
    <t>下水道使用料</t>
    <rPh sb="0" eb="3">
      <t>ゲスイドウ</t>
    </rPh>
    <rPh sb="3" eb="6">
      <t>シヨウリョウ</t>
    </rPh>
    <phoneticPr fontId="2"/>
  </si>
  <si>
    <t>円</t>
    <rPh sb="0" eb="1">
      <t>エン</t>
    </rPh>
    <phoneticPr fontId="2"/>
  </si>
  <si>
    <t>消費税</t>
    <rPh sb="0" eb="3">
      <t>ショウヒゼイ</t>
    </rPh>
    <phoneticPr fontId="2"/>
  </si>
  <si>
    <t>甲乙合計</t>
    <rPh sb="0" eb="2">
      <t>コウオツ</t>
    </rPh>
    <rPh sb="2" eb="4">
      <t>ゴウケイ</t>
    </rPh>
    <phoneticPr fontId="2"/>
  </si>
  <si>
    <t>日割反映</t>
    <rPh sb="0" eb="2">
      <t>ヒワリ</t>
    </rPh>
    <rPh sb="2" eb="4">
      <t>ハンエイ</t>
    </rPh>
    <phoneticPr fontId="2"/>
  </si>
  <si>
    <t>コード</t>
    <phoneticPr fontId="2"/>
  </si>
  <si>
    <t>水道</t>
    <rPh sb="0" eb="2">
      <t>スイドウ</t>
    </rPh>
    <phoneticPr fontId="2"/>
  </si>
  <si>
    <t>下水道</t>
    <rPh sb="0" eb="2">
      <t>ゲスイ</t>
    </rPh>
    <rPh sb="2" eb="3">
      <t>ドウ</t>
    </rPh>
    <phoneticPr fontId="2"/>
  </si>
  <si>
    <t>料金試算エリア</t>
    <rPh sb="0" eb="2">
      <t>リョウキン</t>
    </rPh>
    <rPh sb="2" eb="4">
      <t>シサン</t>
    </rPh>
    <phoneticPr fontId="2"/>
  </si>
  <si>
    <t>検針日①</t>
    <rPh sb="0" eb="3">
      <t>ケンシンビ</t>
    </rPh>
    <phoneticPr fontId="2"/>
  </si>
  <si>
    <t>検針日②</t>
    <rPh sb="0" eb="3">
      <t>ケンシンビ</t>
    </rPh>
    <phoneticPr fontId="2"/>
  </si>
  <si>
    <t>日数</t>
    <rPh sb="0" eb="2">
      <t>ニッスウ</t>
    </rPh>
    <phoneticPr fontId="2"/>
  </si>
  <si>
    <t>日数試算</t>
    <rPh sb="0" eb="2">
      <t>ニッスウ</t>
    </rPh>
    <rPh sb="2" eb="4">
      <t>シサン</t>
    </rPh>
    <phoneticPr fontId="2"/>
  </si>
  <si>
    <t>円</t>
    <rPh sb="0" eb="1">
      <t>エン</t>
    </rPh>
    <phoneticPr fontId="2"/>
  </si>
  <si>
    <t>合計（税込み）</t>
    <rPh sb="0" eb="2">
      <t>ゴウケイ</t>
    </rPh>
    <rPh sb="3" eb="5">
      <t>ゼイコ</t>
    </rPh>
    <phoneticPr fontId="2"/>
  </si>
  <si>
    <t>注意</t>
    <rPh sb="0" eb="2">
      <t>チュウイ</t>
    </rPh>
    <phoneticPr fontId="2"/>
  </si>
  <si>
    <t>・日割計算を行わない場合は日数を３１又は６２を入力すること。</t>
    <rPh sb="1" eb="3">
      <t>ヒワリ</t>
    </rPh>
    <rPh sb="3" eb="5">
      <t>ケイサン</t>
    </rPh>
    <rPh sb="6" eb="7">
      <t>オコナ</t>
    </rPh>
    <rPh sb="10" eb="12">
      <t>バアイ</t>
    </rPh>
    <rPh sb="13" eb="15">
      <t>ニッスウ</t>
    </rPh>
    <rPh sb="18" eb="19">
      <t>マタ</t>
    </rPh>
    <rPh sb="23" eb="25">
      <t>ニュウリョク</t>
    </rPh>
    <phoneticPr fontId="2"/>
  </si>
  <si>
    <t>・上記日数試算は、参考用です。本体の計算式との連動はありません。</t>
    <rPh sb="1" eb="3">
      <t>ジョウキ</t>
    </rPh>
    <rPh sb="3" eb="5">
      <t>ニッスウ</t>
    </rPh>
    <rPh sb="5" eb="7">
      <t>シサン</t>
    </rPh>
    <rPh sb="9" eb="12">
      <t>サンコウヨウ</t>
    </rPh>
    <rPh sb="15" eb="17">
      <t>ホンタイ</t>
    </rPh>
    <rPh sb="18" eb="20">
      <t>ケイサン</t>
    </rPh>
    <rPh sb="20" eb="21">
      <t>シキ</t>
    </rPh>
    <rPh sb="23" eb="25">
      <t>レンドウ</t>
    </rPh>
    <phoneticPr fontId="2"/>
  </si>
  <si>
    <t>合計（税込み）</t>
    <rPh sb="0" eb="2">
      <t>ゴウケイ</t>
    </rPh>
    <rPh sb="3" eb="5">
      <t>ゼイコ</t>
    </rPh>
    <phoneticPr fontId="2"/>
  </si>
  <si>
    <t>　水道料金・下水道使用料試算</t>
    <rPh sb="1" eb="3">
      <t>スイドウ</t>
    </rPh>
    <rPh sb="3" eb="5">
      <t>リョウキン</t>
    </rPh>
    <rPh sb="6" eb="9">
      <t>ゲスイドウ</t>
    </rPh>
    <rPh sb="9" eb="12">
      <t>シヨウリョウ</t>
    </rPh>
    <rPh sb="12" eb="14">
      <t>シサン</t>
    </rPh>
    <phoneticPr fontId="2"/>
  </si>
  <si>
    <t>立方メートル</t>
    <rPh sb="0" eb="2">
      <t>リッポウ</t>
    </rPh>
    <phoneticPr fontId="2"/>
  </si>
  <si>
    <t>ミリ</t>
    <phoneticPr fontId="2"/>
  </si>
  <si>
    <t>計算結果</t>
    <phoneticPr fontId="2"/>
  </si>
  <si>
    <r>
      <t xml:space="preserve">用途
</t>
    </r>
    <r>
      <rPr>
        <sz val="11"/>
        <color theme="1"/>
        <rFont val="ＭＳ Ｐゴシック"/>
        <family val="3"/>
        <charset val="128"/>
        <scheme val="minor"/>
      </rPr>
      <t>（必須選択）</t>
    </r>
    <rPh sb="0" eb="2">
      <t>ヨウト</t>
    </rPh>
    <rPh sb="4" eb="6">
      <t>ヒッス</t>
    </rPh>
    <rPh sb="6" eb="8">
      <t>センタク</t>
    </rPh>
    <phoneticPr fontId="2"/>
  </si>
  <si>
    <r>
      <t xml:space="preserve">口径
</t>
    </r>
    <r>
      <rPr>
        <sz val="11"/>
        <color theme="1"/>
        <rFont val="ＭＳ Ｐゴシック"/>
        <family val="3"/>
        <charset val="128"/>
        <scheme val="minor"/>
      </rPr>
      <t>（必須選択）</t>
    </r>
    <rPh sb="0" eb="2">
      <t>コウケイ</t>
    </rPh>
    <phoneticPr fontId="2"/>
  </si>
  <si>
    <t>・戸数計算を行わない場合は戸数に1を入力すること。2以上の場合は一般用２０ｍｍで戸数計算を行います</t>
    <rPh sb="1" eb="3">
      <t>コスウ</t>
    </rPh>
    <rPh sb="3" eb="5">
      <t>ケイサン</t>
    </rPh>
    <rPh sb="6" eb="7">
      <t>オコナ</t>
    </rPh>
    <rPh sb="10" eb="12">
      <t>バアイ</t>
    </rPh>
    <rPh sb="13" eb="15">
      <t>コスウ</t>
    </rPh>
    <rPh sb="18" eb="20">
      <t>ニュウリョク</t>
    </rPh>
    <rPh sb="26" eb="28">
      <t>イジョウ</t>
    </rPh>
    <rPh sb="29" eb="31">
      <t>バアイ</t>
    </rPh>
    <rPh sb="32" eb="35">
      <t>イッパンヨウ</t>
    </rPh>
    <rPh sb="40" eb="42">
      <t>コスウ</t>
    </rPh>
    <rPh sb="42" eb="44">
      <t>ケイサン</t>
    </rPh>
    <rPh sb="45" eb="46">
      <t>オコナ</t>
    </rPh>
    <phoneticPr fontId="2"/>
  </si>
  <si>
    <t>基本料金</t>
    <rPh sb="0" eb="2">
      <t>キホン</t>
    </rPh>
    <rPh sb="2" eb="4">
      <t>リョウキン</t>
    </rPh>
    <phoneticPr fontId="2"/>
  </si>
  <si>
    <t>従量料金</t>
    <rPh sb="0" eb="2">
      <t>ジュウリョウ</t>
    </rPh>
    <rPh sb="2" eb="4">
      <t>リョウキン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</si>
  <si>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</si>
  <si>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合計（税抜き）</t>
    <rPh sb="0" eb="2">
      <t>ゴウケイ</t>
    </rPh>
    <rPh sb="3" eb="5">
      <t>ゼイヌキ</t>
    </rPh>
    <phoneticPr fontId="2"/>
  </si>
  <si>
    <t>　　・試算結果はあくまで参考数値です。実際の請求金額ではありません。</t>
    <rPh sb="3" eb="5">
      <t>シサン</t>
    </rPh>
    <rPh sb="5" eb="7">
      <t>ケッカ</t>
    </rPh>
    <rPh sb="12" eb="14">
      <t>サンコウ</t>
    </rPh>
    <rPh sb="14" eb="16">
      <t>スウチ</t>
    </rPh>
    <rPh sb="19" eb="21">
      <t>ジッサイ</t>
    </rPh>
    <rPh sb="22" eb="24">
      <t>セイキュウ</t>
    </rPh>
    <rPh sb="24" eb="26">
      <t>キンガク</t>
    </rPh>
    <phoneticPr fontId="2"/>
  </si>
  <si>
    <r>
      <t xml:space="preserve">水量
</t>
    </r>
    <r>
      <rPr>
        <sz val="11"/>
        <color theme="1"/>
        <rFont val="ＭＳ Ｐゴシック"/>
        <family val="3"/>
        <charset val="128"/>
        <scheme val="minor"/>
      </rPr>
      <t>（必須入力「0～100,000」）</t>
    </r>
    <rPh sb="0" eb="2">
      <t>スイリョウ</t>
    </rPh>
    <rPh sb="6" eb="8">
      <t>ニュウリョク</t>
    </rPh>
    <phoneticPr fontId="2"/>
  </si>
  <si>
    <t>公衆浴場用</t>
    <rPh sb="0" eb="2">
      <t>コウシュウ</t>
    </rPh>
    <rPh sb="2" eb="5">
      <t>ヨクジョウヨウ</t>
    </rPh>
    <phoneticPr fontId="2"/>
  </si>
  <si>
    <t>一般用
（家事用、事業用など）</t>
    <rPh sb="0" eb="3">
      <t>イッパンヨウ</t>
    </rPh>
    <rPh sb="5" eb="8">
      <t>カジヨウ</t>
    </rPh>
    <rPh sb="9" eb="12">
      <t>ジギョウヨウ</t>
    </rPh>
    <phoneticPr fontId="2"/>
  </si>
  <si>
    <t>算定区分</t>
    <rPh sb="0" eb="2">
      <t>サンテイ</t>
    </rPh>
    <rPh sb="2" eb="4">
      <t>クブン</t>
    </rPh>
    <phoneticPr fontId="2"/>
  </si>
  <si>
    <r>
      <t xml:space="preserve">日割計算   
</t>
    </r>
    <r>
      <rPr>
        <sz val="11"/>
        <color theme="1"/>
        <rFont val="ＭＳ Ｐゴシック"/>
        <family val="3"/>
        <charset val="128"/>
        <scheme val="minor"/>
      </rPr>
      <t>（必須選択）</t>
    </r>
    <rPh sb="0" eb="2">
      <t>ヒワリ</t>
    </rPh>
    <rPh sb="2" eb="4">
      <t>ケイサン</t>
    </rPh>
    <rPh sb="9" eb="11">
      <t>ヒッス</t>
    </rPh>
    <rPh sb="11" eb="13">
      <t>センタク</t>
    </rPh>
    <phoneticPr fontId="2"/>
  </si>
  <si>
    <t>日割計算</t>
    <rPh sb="0" eb="2">
      <t>ヒワリ</t>
    </rPh>
    <rPh sb="2" eb="4">
      <t>ケイサン</t>
    </rPh>
    <phoneticPr fontId="2"/>
  </si>
  <si>
    <t>用途</t>
    <rPh sb="0" eb="2">
      <t>ヨウト</t>
    </rPh>
    <phoneticPr fontId="2"/>
  </si>
  <si>
    <t>口径</t>
    <rPh sb="0" eb="2">
      <t>コウケイ</t>
    </rPh>
    <phoneticPr fontId="2"/>
  </si>
  <si>
    <t>日数</t>
    <rPh sb="0" eb="2">
      <t>ニッスウ</t>
    </rPh>
    <phoneticPr fontId="2"/>
  </si>
  <si>
    <t>　　・日割計算については、初回検針分と清算分の請求にのみ適用されます。</t>
    <rPh sb="3" eb="5">
      <t>ヒワリ</t>
    </rPh>
    <rPh sb="5" eb="7">
      <t>ケイサン</t>
    </rPh>
    <phoneticPr fontId="2"/>
  </si>
  <si>
    <t>　　・通常は2ヶ月ごとの請求ですので、使用月数は2ヶ月分として計算されます。</t>
    <rPh sb="3" eb="5">
      <t>ツウジョウ</t>
    </rPh>
    <rPh sb="8" eb="9">
      <t>ゲツ</t>
    </rPh>
    <rPh sb="12" eb="14">
      <t>セイキュウ</t>
    </rPh>
    <rPh sb="19" eb="21">
      <t>シヨウ</t>
    </rPh>
    <rPh sb="21" eb="23">
      <t>ツキスウ</t>
    </rPh>
    <rPh sb="26" eb="27">
      <t>ゲツ</t>
    </rPh>
    <rPh sb="27" eb="28">
      <t>ブン</t>
    </rPh>
    <rPh sb="31" eb="33">
      <t>ケイサン</t>
    </rPh>
    <phoneticPr fontId="2"/>
  </si>
  <si>
    <t>　　　※使用月数を1ヶ月分として計算される場合は、日割計算「する」を選択したうえで、</t>
    <rPh sb="4" eb="6">
      <t>シヨウ</t>
    </rPh>
    <rPh sb="6" eb="8">
      <t>ツキスウ</t>
    </rPh>
    <rPh sb="11" eb="12">
      <t>ゲツ</t>
    </rPh>
    <rPh sb="12" eb="13">
      <t>ブン</t>
    </rPh>
    <rPh sb="16" eb="18">
      <t>ケイサン</t>
    </rPh>
    <rPh sb="21" eb="23">
      <t>バアイ</t>
    </rPh>
    <rPh sb="25" eb="27">
      <t>ヒワリ</t>
    </rPh>
    <rPh sb="27" eb="29">
      <t>ケイサン</t>
    </rPh>
    <rPh sb="34" eb="36">
      <t>センタク</t>
    </rPh>
    <phoneticPr fontId="2"/>
  </si>
  <si>
    <t>　　　　日数「31」日を入力してください。</t>
    <phoneticPr fontId="2"/>
  </si>
  <si>
    <t>戸数</t>
    <rPh sb="0" eb="2">
      <t>コスウ</t>
    </rPh>
    <phoneticPr fontId="2"/>
  </si>
  <si>
    <t>以下の項目について、選択・入力してください。</t>
    <rPh sb="0" eb="2">
      <t>イカ</t>
    </rPh>
    <rPh sb="3" eb="5">
      <t>コウモク</t>
    </rPh>
    <rPh sb="10" eb="12">
      <t>センタク</t>
    </rPh>
    <phoneticPr fontId="2"/>
  </si>
  <si>
    <t>　&lt;注意事項1&gt;</t>
    <rPh sb="2" eb="4">
      <t>チュウイ</t>
    </rPh>
    <rPh sb="4" eb="6">
      <t>ジコウ</t>
    </rPh>
    <phoneticPr fontId="2"/>
  </si>
  <si>
    <t>　&lt;注意事項2&gt;</t>
    <rPh sb="2" eb="4">
      <t>チュウイ</t>
    </rPh>
    <rPh sb="4" eb="6">
      <t>ジコウ</t>
    </rPh>
    <phoneticPr fontId="2"/>
  </si>
  <si>
    <t>公衆浴場用</t>
    <phoneticPr fontId="2"/>
  </si>
  <si>
    <t>　　・消費税相当額については、水道料金・下水道使用料のそれぞれを税率10％で計算しています。</t>
    <rPh sb="3" eb="6">
      <t>ショウヒゼイ</t>
    </rPh>
    <rPh sb="6" eb="8">
      <t>ソウトウ</t>
    </rPh>
    <rPh sb="8" eb="9">
      <t>ガク</t>
    </rPh>
    <rPh sb="15" eb="17">
      <t>スイドウ</t>
    </rPh>
    <rPh sb="17" eb="19">
      <t>リョウキン</t>
    </rPh>
    <rPh sb="20" eb="23">
      <t>ゲスイドウ</t>
    </rPh>
    <rPh sb="23" eb="26">
      <t>シヨウリョウ</t>
    </rPh>
    <rPh sb="32" eb="34">
      <t>ゼイリツ</t>
    </rPh>
    <rPh sb="38" eb="40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</si>
</sst>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.5"/>
      <color theme="1"/>
      <name val="メイリオ"/>
      <family val="3"/>
      <charset val="128"/>
    </font>
    <font>
      <sz val="11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2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AFDFE"/>
        <bgColor indexed="64"/>
      </patternFill>
    </fill>
    <fill>
      <patternFill patternType="solid">
        <fgColor rgb="FFFFEBCD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8" fillId="13" borderId="0" xfId="0" applyFont="1" applyFill="1" applyProtection="1">
      <alignment vertical="center"/>
    </xf>
    <xf numFmtId="0" fontId="9" fillId="13" borderId="0" xfId="0" applyFont="1" applyFill="1" applyProtection="1">
      <alignment vertical="center"/>
    </xf>
    <xf numFmtId="0" fontId="0" fillId="13" borderId="0" xfId="0" applyFill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/>
    </xf>
    <xf numFmtId="0" fontId="0" fillId="4" borderId="10" xfId="0" applyFill="1" applyBorder="1" applyProtection="1">
      <alignment vertical="center"/>
    </xf>
    <xf numFmtId="0" fontId="0" fillId="4" borderId="11" xfId="0" applyFill="1" applyBorder="1" applyAlignment="1" applyProtection="1">
      <alignment horizontal="center" vertical="center"/>
    </xf>
    <xf numFmtId="38" fontId="0" fillId="4" borderId="11" xfId="1" applyFont="1" applyFill="1" applyBorder="1" applyProtection="1">
      <alignment vertical="center"/>
    </xf>
    <xf numFmtId="0" fontId="0" fillId="4" borderId="12" xfId="0" applyFill="1" applyBorder="1" applyProtection="1">
      <alignment vertical="center"/>
    </xf>
    <xf numFmtId="0" fontId="0" fillId="7" borderId="10" xfId="0" applyFill="1" applyBorder="1" applyProtection="1">
      <alignment vertical="center"/>
    </xf>
    <xf numFmtId="0" fontId="0" fillId="7" borderId="11" xfId="0" applyFill="1" applyBorder="1" applyProtection="1">
      <alignment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5" xfId="0" applyBorder="1" applyProtection="1">
      <alignment vertical="center"/>
    </xf>
    <xf numFmtId="38" fontId="0" fillId="0" borderId="4" xfId="1" applyFont="1" applyBorder="1" applyProtection="1">
      <alignment vertical="center"/>
    </xf>
    <xf numFmtId="38" fontId="0" fillId="0" borderId="2" xfId="1" applyFont="1" applyBorder="1" applyProtection="1">
      <alignment vertical="center"/>
    </xf>
    <xf numFmtId="38" fontId="11" fillId="0" borderId="0" xfId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38" fontId="0" fillId="0" borderId="5" xfId="1" applyFont="1" applyFill="1" applyBorder="1" applyProtection="1">
      <alignment vertical="center"/>
    </xf>
    <xf numFmtId="38" fontId="0" fillId="0" borderId="6" xfId="1" applyFont="1" applyBorder="1" applyProtection="1">
      <alignment vertical="center"/>
    </xf>
    <xf numFmtId="0" fontId="0" fillId="0" borderId="8" xfId="0" applyBorder="1" applyProtection="1">
      <alignment vertical="center"/>
    </xf>
    <xf numFmtId="38" fontId="0" fillId="0" borderId="7" xfId="1" applyFont="1" applyBorder="1" applyProtection="1">
      <alignment vertical="center"/>
    </xf>
    <xf numFmtId="38" fontId="0" fillId="10" borderId="3" xfId="1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8" fontId="0" fillId="0" borderId="0" xfId="1" applyFon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9" xfId="1" applyFont="1" applyBorder="1" applyProtection="1">
      <alignment vertical="center"/>
    </xf>
    <xf numFmtId="38" fontId="0" fillId="0" borderId="5" xfId="1" applyFont="1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4" xfId="0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38" fontId="0" fillId="4" borderId="11" xfId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9" fontId="0" fillId="0" borderId="1" xfId="2" applyFont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38" fontId="0" fillId="0" borderId="0" xfId="0" applyNumberForma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Protection="1">
      <alignment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3" fontId="0" fillId="0" borderId="1" xfId="0" applyNumberFormat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1" xfId="0" applyBorder="1" applyProtection="1">
      <alignment vertical="center"/>
    </xf>
    <xf numFmtId="38" fontId="0" fillId="0" borderId="12" xfId="1" applyFont="1" applyBorder="1" applyProtection="1">
      <alignment vertical="center"/>
    </xf>
    <xf numFmtId="38" fontId="0" fillId="0" borderId="0" xfId="1" applyFont="1" applyProtection="1">
      <alignment vertical="center"/>
    </xf>
    <xf numFmtId="38" fontId="0" fillId="0" borderId="0" xfId="0" applyNumberFormat="1" applyAlignment="1" applyProtection="1">
      <alignment horizontal="right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11" borderId="1" xfId="0" applyFill="1" applyBorder="1" applyAlignment="1" applyProtection="1">
      <alignment horizontal="center" vertical="center"/>
    </xf>
    <xf numFmtId="3" fontId="0" fillId="0" borderId="1" xfId="0" applyNumberFormat="1" applyFill="1" applyBorder="1" applyProtection="1">
      <alignment vertical="center"/>
    </xf>
    <xf numFmtId="0" fontId="0" fillId="0" borderId="13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38" fontId="0" fillId="0" borderId="0" xfId="0" applyNumberFormat="1" applyProtection="1">
      <alignment vertical="center"/>
    </xf>
    <xf numFmtId="0" fontId="11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16" borderId="37" xfId="0" applyFont="1" applyFill="1" applyBorder="1" applyAlignment="1" applyProtection="1">
      <alignment horizontal="center" vertical="center" wrapText="1"/>
    </xf>
    <xf numFmtId="0" fontId="6" fillId="16" borderId="39" xfId="0" applyFont="1" applyFill="1" applyBorder="1" applyAlignment="1" applyProtection="1">
      <alignment horizontal="center" vertical="center"/>
    </xf>
    <xf numFmtId="0" fontId="11" fillId="16" borderId="18" xfId="0" applyFont="1" applyFill="1" applyBorder="1" applyAlignment="1" applyProtection="1">
      <alignment horizontal="center" vertical="center" wrapText="1"/>
    </xf>
    <xf numFmtId="38" fontId="14" fillId="16" borderId="15" xfId="1" applyFont="1" applyFill="1" applyBorder="1" applyAlignment="1" applyProtection="1">
      <alignment vertical="center"/>
    </xf>
    <xf numFmtId="0" fontId="11" fillId="16" borderId="25" xfId="0" applyFont="1" applyFill="1" applyBorder="1" applyAlignment="1" applyProtection="1">
      <alignment horizontal="center" vertical="center"/>
    </xf>
    <xf numFmtId="0" fontId="11" fillId="16" borderId="18" xfId="0" applyFont="1" applyFill="1" applyBorder="1" applyAlignment="1" applyProtection="1">
      <alignment horizontal="center" vertical="center"/>
    </xf>
    <xf numFmtId="38" fontId="11" fillId="16" borderId="40" xfId="1" applyFont="1" applyFill="1" applyBorder="1" applyAlignment="1" applyProtection="1">
      <alignment horizontal="center" vertical="center"/>
    </xf>
    <xf numFmtId="38" fontId="14" fillId="16" borderId="41" xfId="1" applyFont="1" applyFill="1" applyBorder="1" applyAlignment="1" applyProtection="1">
      <alignment vertical="center"/>
    </xf>
    <xf numFmtId="0" fontId="11" fillId="16" borderId="42" xfId="0" applyFont="1" applyFill="1" applyBorder="1" applyAlignment="1" applyProtection="1">
      <alignment horizontal="center" vertical="center"/>
    </xf>
    <xf numFmtId="0" fontId="6" fillId="17" borderId="43" xfId="0" applyFont="1" applyFill="1" applyBorder="1" applyAlignment="1" applyProtection="1">
      <alignment horizontal="center" vertical="center" wrapText="1"/>
    </xf>
    <xf numFmtId="0" fontId="6" fillId="17" borderId="45" xfId="0" applyFont="1" applyFill="1" applyBorder="1" applyAlignment="1" applyProtection="1">
      <alignment horizontal="center" vertical="center"/>
    </xf>
    <xf numFmtId="0" fontId="11" fillId="17" borderId="18" xfId="0" applyFont="1" applyFill="1" applyBorder="1" applyAlignment="1" applyProtection="1">
      <alignment horizontal="center" vertical="center" wrapText="1"/>
    </xf>
    <xf numFmtId="38" fontId="14" fillId="17" borderId="15" xfId="1" applyFont="1" applyFill="1" applyBorder="1" applyAlignment="1" applyProtection="1">
      <alignment vertical="center"/>
    </xf>
    <xf numFmtId="0" fontId="11" fillId="17" borderId="25" xfId="0" applyFont="1" applyFill="1" applyBorder="1" applyAlignment="1" applyProtection="1">
      <alignment horizontal="center" vertical="center"/>
    </xf>
    <xf numFmtId="0" fontId="11" fillId="17" borderId="18" xfId="0" applyFont="1" applyFill="1" applyBorder="1" applyAlignment="1" applyProtection="1">
      <alignment horizontal="center" vertical="center"/>
    </xf>
    <xf numFmtId="38" fontId="11" fillId="17" borderId="19" xfId="1" applyFont="1" applyFill="1" applyBorder="1" applyAlignment="1" applyProtection="1">
      <alignment horizontal="center" vertical="center"/>
    </xf>
    <xf numFmtId="38" fontId="14" fillId="17" borderId="16" xfId="1" applyFont="1" applyFill="1" applyBorder="1" applyAlignment="1" applyProtection="1">
      <alignment vertical="center"/>
    </xf>
    <xf numFmtId="0" fontId="11" fillId="17" borderId="26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6" borderId="1" xfId="0" applyFont="1" applyFill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1" fillId="0" borderId="13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38" fontId="11" fillId="0" borderId="14" xfId="1" applyFont="1" applyBorder="1" applyProtection="1">
      <alignment vertical="center"/>
    </xf>
    <xf numFmtId="3" fontId="11" fillId="0" borderId="1" xfId="0" applyNumberFormat="1" applyFont="1" applyBorder="1" applyProtection="1">
      <alignment vertical="center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horizontal="right" vertical="center"/>
    </xf>
    <xf numFmtId="38" fontId="17" fillId="17" borderId="44" xfId="1" applyFont="1" applyFill="1" applyBorder="1" applyAlignment="1" applyProtection="1">
      <alignment vertical="center"/>
    </xf>
    <xf numFmtId="38" fontId="17" fillId="16" borderId="38" xfId="1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3" fillId="9" borderId="12" xfId="0" applyFont="1" applyFill="1" applyBorder="1" applyAlignment="1" applyProtection="1">
      <alignment horizontal="center" vertical="center"/>
    </xf>
    <xf numFmtId="0" fontId="6" fillId="14" borderId="23" xfId="0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/>
    </xf>
    <xf numFmtId="0" fontId="6" fillId="14" borderId="20" xfId="0" applyFont="1" applyFill="1" applyBorder="1" applyAlignment="1" applyProtection="1">
      <alignment horizontal="center" vertical="center" wrapText="1"/>
    </xf>
    <xf numFmtId="0" fontId="6" fillId="14" borderId="2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8" fontId="0" fillId="0" borderId="2" xfId="0" applyNumberFormat="1" applyBorder="1" applyAlignment="1" applyProtection="1">
      <alignment horizontal="center" vertical="center"/>
    </xf>
    <xf numFmtId="38" fontId="0" fillId="0" borderId="3" xfId="0" applyNumberForma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38" fontId="13" fillId="0" borderId="1" xfId="1" applyFont="1" applyFill="1" applyBorder="1" applyAlignment="1" applyProtection="1">
      <alignment horizontal="center" vertical="center"/>
      <protection locked="0"/>
    </xf>
    <xf numFmtId="38" fontId="13" fillId="0" borderId="24" xfId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15" borderId="27" xfId="0" applyFont="1" applyFill="1" applyBorder="1" applyAlignment="1" applyProtection="1">
      <alignment horizontal="center" vertical="center"/>
    </xf>
    <xf numFmtId="0" fontId="7" fillId="15" borderId="29" xfId="0" applyFont="1" applyFill="1" applyBorder="1" applyAlignment="1" applyProtection="1">
      <alignment horizontal="center" vertical="center"/>
    </xf>
    <xf numFmtId="0" fontId="7" fillId="17" borderId="33" xfId="0" applyFont="1" applyFill="1" applyBorder="1" applyAlignment="1" applyProtection="1">
      <alignment horizontal="center" vertical="center"/>
    </xf>
    <xf numFmtId="0" fontId="7" fillId="17" borderId="34" xfId="0" applyFont="1" applyFill="1" applyBorder="1" applyAlignment="1" applyProtection="1">
      <alignment horizontal="center" vertical="center"/>
    </xf>
    <xf numFmtId="0" fontId="7" fillId="17" borderId="35" xfId="0" applyFont="1" applyFill="1" applyBorder="1" applyAlignment="1" applyProtection="1">
      <alignment horizontal="center" vertical="center"/>
    </xf>
    <xf numFmtId="0" fontId="7" fillId="16" borderId="36" xfId="0" applyFont="1" applyFill="1" applyBorder="1" applyAlignment="1" applyProtection="1">
      <alignment horizontal="center" vertical="center"/>
    </xf>
    <xf numFmtId="0" fontId="7" fillId="16" borderId="34" xfId="0" applyFont="1" applyFill="1" applyBorder="1" applyAlignment="1" applyProtection="1">
      <alignment horizontal="center" vertical="center"/>
    </xf>
    <xf numFmtId="0" fontId="7" fillId="16" borderId="35" xfId="0" applyFont="1" applyFill="1" applyBorder="1" applyAlignment="1" applyProtection="1">
      <alignment horizontal="center" vertical="center"/>
    </xf>
    <xf numFmtId="38" fontId="15" fillId="15" borderId="17" xfId="0" applyNumberFormat="1" applyFont="1" applyFill="1" applyBorder="1" applyAlignment="1" applyProtection="1">
      <alignment vertical="center"/>
    </xf>
    <xf numFmtId="0" fontId="15" fillId="15" borderId="5" xfId="0" applyFont="1" applyFill="1" applyBorder="1" applyAlignment="1" applyProtection="1">
      <alignment vertical="center"/>
    </xf>
    <xf numFmtId="0" fontId="15" fillId="15" borderId="30" xfId="0" applyFont="1" applyFill="1" applyBorder="1" applyAlignment="1" applyProtection="1">
      <alignment vertical="center"/>
    </xf>
    <xf numFmtId="0" fontId="15" fillId="15" borderId="31" xfId="0" applyFont="1" applyFill="1" applyBorder="1" applyAlignment="1" applyProtection="1">
      <alignment vertical="center"/>
    </xf>
    <xf numFmtId="0" fontId="6" fillId="15" borderId="28" xfId="0" applyFont="1" applyFill="1" applyBorder="1" applyAlignment="1" applyProtection="1">
      <alignment horizontal="center" vertical="center"/>
    </xf>
    <xf numFmtId="0" fontId="6" fillId="15" borderId="32" xfId="0" applyFont="1" applyFill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EBCD"/>
      <color rgb="FFDAFDFE"/>
      <color rgb="FFDAEEFE"/>
      <color rgb="FFDAFEFB"/>
      <color rgb="FFC6FEF9"/>
      <color rgb="FFB4FEF7"/>
      <color rgb="FFFFE0B3"/>
      <color rgb="FFDFECE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A$10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1343025</xdr:colOff>
          <xdr:row>7</xdr:row>
          <xdr:rowOff>0</xdr:rowOff>
        </xdr:from>
        <xdr:to>
          <xdr:col>2</xdr:col>
          <xdr:colOff>295275</xdr:colOff>
          <xdr:row>7</xdr:row>
          <xdr:rowOff>419100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7</xdr:row>
          <xdr:rowOff>0</xdr:rowOff>
        </xdr:from>
        <xdr:to>
          <xdr:col>2</xdr:col>
          <xdr:colOff>1085850</xdr:colOff>
          <xdr:row>7</xdr:row>
          <xdr:rowOff>419100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テクノロジー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46"/>
  <sheetViews>
    <sheetView showGridLines="0" tabSelected="1" zoomScale="90" zoomScaleNormal="90" workbookViewId="0">
      <selection activeCell="D4" sqref="D4:E4"/>
    </sheetView>
  </sheetViews>
  <sheetFormatPr defaultRowHeight="13.5" x14ac:dyDescent="0.15"/>
  <cols>
    <col min="1" max="1" width="6.125" style="4" customWidth="1"/>
    <col min="2" max="2" width="22.625" style="4" customWidth="1"/>
    <col min="3" max="3" width="22.25" style="4" customWidth="1"/>
    <col min="4" max="4" width="16.25" style="4" bestFit="1" customWidth="1"/>
    <col min="5" max="5" width="9" style="4"/>
    <col min="6" max="6" width="12.375" style="5" customWidth="1"/>
    <col min="7" max="26" width="12.375" style="126" customWidth="1"/>
    <col min="27" max="27" width="20.25" style="4" hidden="1" customWidth="1"/>
    <col min="28" max="28" width="9" style="4" hidden="1" customWidth="1"/>
    <col min="29" max="29" width="17.625" style="4" hidden="1" customWidth="1"/>
    <col min="30" max="30" width="8.875" style="4" hidden="1" customWidth="1"/>
    <col min="31" max="31" width="17.625" style="4" hidden="1" customWidth="1"/>
    <col min="32" max="32" width="9.25" style="4" hidden="1" customWidth="1"/>
    <col min="33" max="33" width="11.375" style="4" hidden="1" customWidth="1"/>
    <col min="34" max="36" width="9" style="4" hidden="1" customWidth="1"/>
    <col min="37" max="37" width="14" style="4" hidden="1" customWidth="1"/>
    <col min="38" max="38" width="9.25" style="4" hidden="1" customWidth="1"/>
    <col min="39" max="39" width="11.375" style="4" hidden="1" customWidth="1"/>
    <col min="40" max="40" width="9" style="4" hidden="1" customWidth="1"/>
    <col min="41" max="41" width="11.375" style="4" hidden="1" customWidth="1"/>
    <col min="42" max="45" width="9" style="4" hidden="1" customWidth="1"/>
    <col min="46" max="46" width="11.375" style="4" hidden="1" customWidth="1"/>
    <col min="47" max="47" width="9" style="4" customWidth="1"/>
    <col min="48" max="16384" width="9" style="4"/>
  </cols>
  <sheetData>
    <row r="1" spans="1:39" ht="30" customHeight="1" x14ac:dyDescent="0.15">
      <c r="A1" s="1" t="s">
        <v>64</v>
      </c>
      <c r="B1" s="2"/>
      <c r="C1" s="2"/>
      <c r="D1" s="2"/>
      <c r="E1" s="2"/>
      <c r="F1" s="3"/>
    </row>
    <row r="2" spans="1:39" ht="15" customHeight="1" x14ac:dyDescent="0.15">
      <c r="A2" s="105"/>
      <c r="B2" s="77"/>
      <c r="C2" s="77"/>
      <c r="D2" s="77"/>
      <c r="E2" s="77"/>
      <c r="F2" s="96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39" ht="18" thickBot="1" x14ac:dyDescent="0.2">
      <c r="A3" s="6"/>
      <c r="B3" s="76" t="s">
        <v>90</v>
      </c>
      <c r="D3" s="7" t="str">
        <f>IF($D$4="","用途を選択してください。",IF($D$5="","口径を選択してください。",IF($D$6="","水量を入力してください。",IF($AA$14="","戸数を入力してください。",""))))</f>
        <v/>
      </c>
      <c r="AA3" s="38" t="s">
        <v>82</v>
      </c>
      <c r="AB3" s="4" t="s">
        <v>0</v>
      </c>
      <c r="AI3" s="4" t="s">
        <v>44</v>
      </c>
    </row>
    <row r="4" spans="1:39" ht="35.25" customHeight="1" x14ac:dyDescent="0.15">
      <c r="B4" s="136" t="s">
        <v>68</v>
      </c>
      <c r="C4" s="137"/>
      <c r="D4" s="153" t="s">
        <v>78</v>
      </c>
      <c r="E4" s="154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>
        <f>+VLOOKUP($D$4,$AA$42:$AB$44,2,0)</f>
        <v>1</v>
      </c>
      <c r="AB4" s="10" t="s">
        <v>27</v>
      </c>
      <c r="AC4" s="11">
        <f>+INT(D6/AA14)</f>
        <v>0</v>
      </c>
      <c r="AD4" s="12" t="s">
        <v>1</v>
      </c>
      <c r="AE4" s="13">
        <f>+AC14*AA14-D6</f>
        <v>1</v>
      </c>
      <c r="AF4" s="12" t="s">
        <v>2</v>
      </c>
      <c r="AG4" s="14"/>
      <c r="AI4" s="15"/>
      <c r="AJ4" s="16"/>
      <c r="AK4" s="17" t="s">
        <v>48</v>
      </c>
      <c r="AL4" s="18" t="s">
        <v>43</v>
      </c>
      <c r="AM4" s="18" t="s">
        <v>49</v>
      </c>
    </row>
    <row r="5" spans="1:39" ht="35.25" customHeight="1" x14ac:dyDescent="0.15">
      <c r="B5" s="134" t="s">
        <v>69</v>
      </c>
      <c r="C5" s="135"/>
      <c r="D5" s="151">
        <v>20</v>
      </c>
      <c r="E5" s="152"/>
      <c r="F5" s="8" t="s">
        <v>66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 t="s">
        <v>83</v>
      </c>
      <c r="AB5" s="19"/>
      <c r="AI5" s="142" t="s">
        <v>4</v>
      </c>
      <c r="AJ5" s="20" t="s">
        <v>5</v>
      </c>
      <c r="AK5" s="21">
        <f>+AG6+AG15</f>
        <v>1910</v>
      </c>
      <c r="AL5" s="22">
        <f>+INT(IF(AA10=2,AK5/IF(AA8=1,31,62)*(IF(AA12=0,1,IF(AA12&gt;62,62,AA12))),AK5))</f>
        <v>1910</v>
      </c>
      <c r="AM5" s="140">
        <f>+AL5+AK6</f>
        <v>1910</v>
      </c>
    </row>
    <row r="6" spans="1:39" ht="35.25" customHeight="1" thickBot="1" x14ac:dyDescent="0.2">
      <c r="B6" s="134" t="s">
        <v>76</v>
      </c>
      <c r="C6" s="135"/>
      <c r="D6" s="155">
        <v>0</v>
      </c>
      <c r="E6" s="156"/>
      <c r="F6" s="23" t="s">
        <v>65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9" t="str">
        <f>+IF(D5&lt;=25,"～25ﾐﾘ","30ﾐﾘ～")</f>
        <v>～25ﾐﾘ</v>
      </c>
      <c r="AB6" s="19"/>
      <c r="AC6" s="142" t="s">
        <v>4</v>
      </c>
      <c r="AD6" s="24" t="s">
        <v>5</v>
      </c>
      <c r="AE6" s="25">
        <f>+IF(AA14=1,VLOOKUP(D5,AA25:AB34,2)*AA8,AB26*AA8)</f>
        <v>1910</v>
      </c>
      <c r="AF6" s="25" t="str">
        <f>+"×"&amp;AE4&amp;"="</f>
        <v>×1=</v>
      </c>
      <c r="AG6" s="26">
        <f>+AE6*AE4</f>
        <v>1910</v>
      </c>
      <c r="AI6" s="144"/>
      <c r="AJ6" s="27" t="s">
        <v>6</v>
      </c>
      <c r="AK6" s="28">
        <f>+AG7+AG16</f>
        <v>0</v>
      </c>
      <c r="AL6" s="29"/>
      <c r="AM6" s="141"/>
    </row>
    <row r="7" spans="1:39" ht="18" customHeight="1" x14ac:dyDescent="0.15">
      <c r="A7" s="49"/>
      <c r="B7" s="122"/>
      <c r="C7" s="114"/>
      <c r="D7" s="158" t="str">
        <f>IF(AND(AA10=2,AA12=0),"日数を入力してください。","")</f>
        <v/>
      </c>
      <c r="E7" s="158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9" t="s">
        <v>79</v>
      </c>
      <c r="AB7" s="31"/>
      <c r="AC7" s="143"/>
      <c r="AD7" s="9" t="s">
        <v>6</v>
      </c>
      <c r="AE7" s="32">
        <f>+AO31</f>
        <v>0</v>
      </c>
      <c r="AF7" s="32" t="str">
        <f>+"×"&amp;AE4&amp;"="</f>
        <v>×1=</v>
      </c>
      <c r="AG7" s="33">
        <f>+AE7*AE4</f>
        <v>0</v>
      </c>
      <c r="AI7" s="145" t="s">
        <v>29</v>
      </c>
      <c r="AJ7" s="20" t="s">
        <v>8</v>
      </c>
      <c r="AK7" s="21">
        <f>+AG10+AG19</f>
        <v>1252</v>
      </c>
      <c r="AL7" s="34">
        <f>+INT(IF(AA10=2,AK7/IF(AA8=1,31,62)*(IF(AA12=0,1,IF(AA12&gt;62,62,AA12))),AK7))</f>
        <v>1252</v>
      </c>
      <c r="AM7" s="140">
        <f>+AL7+AK8</f>
        <v>1252</v>
      </c>
    </row>
    <row r="8" spans="1:39" ht="35.25" customHeight="1" x14ac:dyDescent="0.15">
      <c r="A8" s="49"/>
      <c r="B8" s="130" t="s">
        <v>80</v>
      </c>
      <c r="C8" s="131" t="str">
        <f>IF(AA10=2,"日数","")</f>
        <v/>
      </c>
      <c r="D8" s="159"/>
      <c r="E8" s="159"/>
      <c r="F8" s="30" t="str">
        <f>IF(AA10=2,"日","")</f>
        <v/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46">
        <f>+IF(AA10=2,IF(AA12&lt;=31,1,2),2)</f>
        <v>2</v>
      </c>
      <c r="AB8" s="31"/>
      <c r="AC8" s="144"/>
      <c r="AD8" s="148" t="s">
        <v>26</v>
      </c>
      <c r="AE8" s="148"/>
      <c r="AF8" s="148"/>
      <c r="AG8" s="35">
        <f>SUM(AG6:AG7)</f>
        <v>1910</v>
      </c>
      <c r="AI8" s="147"/>
      <c r="AJ8" s="27" t="s">
        <v>9</v>
      </c>
      <c r="AK8" s="28">
        <f>+AG11+AG20</f>
        <v>0</v>
      </c>
      <c r="AL8" s="29"/>
      <c r="AM8" s="141"/>
    </row>
    <row r="9" spans="1:39" ht="14.25" customHeight="1" x14ac:dyDescent="0.15">
      <c r="B9" s="76"/>
      <c r="C9" s="76"/>
      <c r="D9" s="127" t="str">
        <f>IF(AA10=2,"（必須入力「1～100」）","")</f>
        <v/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46" t="s">
        <v>81</v>
      </c>
      <c r="AB9" s="31"/>
    </row>
    <row r="10" spans="1:39" ht="18" customHeight="1" x14ac:dyDescent="0.15">
      <c r="A10" s="77" t="s">
        <v>91</v>
      </c>
      <c r="B10" s="76"/>
      <c r="C10" s="76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115">
        <v>1</v>
      </c>
      <c r="AB10" s="31"/>
      <c r="AC10" s="145" t="s">
        <v>7</v>
      </c>
      <c r="AD10" s="24" t="s">
        <v>8</v>
      </c>
      <c r="AE10" s="36">
        <f>+IF(AA4=3,AB39,AB38)*AA8</f>
        <v>1252</v>
      </c>
      <c r="AF10" s="20" t="str">
        <f>+"×"&amp;AE4&amp;"="</f>
        <v>×1=</v>
      </c>
      <c r="AG10" s="37">
        <f>+AE10*AE4</f>
        <v>1252</v>
      </c>
    </row>
    <row r="11" spans="1:39" ht="18" customHeight="1" x14ac:dyDescent="0.15">
      <c r="A11" s="105" t="s">
        <v>85</v>
      </c>
      <c r="B11" s="30"/>
      <c r="C11" s="76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46" t="s">
        <v>84</v>
      </c>
      <c r="AB11" s="129"/>
      <c r="AC11" s="146"/>
      <c r="AD11" s="9" t="s">
        <v>9</v>
      </c>
      <c r="AE11" s="32">
        <f>+AO45</f>
        <v>0</v>
      </c>
      <c r="AF11" s="39" t="str">
        <f>+"×"&amp;AE4&amp;"="</f>
        <v>×1=</v>
      </c>
      <c r="AG11" s="40">
        <f>+AE11*AE4</f>
        <v>0</v>
      </c>
      <c r="AI11" s="4" t="s">
        <v>57</v>
      </c>
    </row>
    <row r="12" spans="1:39" ht="18" customHeight="1" x14ac:dyDescent="0.15">
      <c r="A12" s="105" t="s">
        <v>86</v>
      </c>
      <c r="B12" s="30"/>
      <c r="C12" s="7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128">
        <f>D8</f>
        <v>0</v>
      </c>
      <c r="AB12" s="31"/>
      <c r="AC12" s="147"/>
      <c r="AD12" s="148" t="s">
        <v>26</v>
      </c>
      <c r="AE12" s="148"/>
      <c r="AF12" s="148"/>
      <c r="AG12" s="35">
        <f>SUM(AG10:AG11)</f>
        <v>1252</v>
      </c>
      <c r="AI12" s="149" t="s">
        <v>54</v>
      </c>
      <c r="AJ12" s="149"/>
      <c r="AK12" s="149" t="s">
        <v>55</v>
      </c>
      <c r="AL12" s="149"/>
      <c r="AM12" s="121" t="s">
        <v>56</v>
      </c>
    </row>
    <row r="13" spans="1:39" ht="18" customHeight="1" x14ac:dyDescent="0.15">
      <c r="A13" s="105" t="s">
        <v>87</v>
      </c>
      <c r="B13" s="30"/>
      <c r="C13" s="76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46" t="s">
        <v>89</v>
      </c>
      <c r="AB13" s="31"/>
      <c r="AI13" s="157">
        <v>42950</v>
      </c>
      <c r="AJ13" s="157"/>
      <c r="AK13" s="157">
        <v>42952</v>
      </c>
      <c r="AL13" s="157"/>
      <c r="AM13" s="42" t="str">
        <f>+IF(DATEDIF(AI13,AK13,"D")=0,1,DATEDIF(AI13,AK13,"D"))&amp;"日"</f>
        <v>2日</v>
      </c>
    </row>
    <row r="14" spans="1:39" ht="18" customHeight="1" x14ac:dyDescent="0.15">
      <c r="A14" s="105" t="s">
        <v>88</v>
      </c>
      <c r="B14" s="30"/>
      <c r="C14" s="76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123">
        <v>1</v>
      </c>
      <c r="AB14" s="133" t="s">
        <v>28</v>
      </c>
      <c r="AC14" s="11">
        <f>+AC4+1</f>
        <v>1</v>
      </c>
      <c r="AD14" s="12" t="s">
        <v>1</v>
      </c>
      <c r="AE14" s="45">
        <f>+AA14-AE4</f>
        <v>0</v>
      </c>
      <c r="AF14" s="12" t="s">
        <v>2</v>
      </c>
      <c r="AG14" s="14"/>
    </row>
    <row r="15" spans="1:39" ht="15" customHeight="1" x14ac:dyDescent="0.15">
      <c r="A15" s="49"/>
      <c r="B15" s="127"/>
      <c r="D15" s="127"/>
      <c r="E15" s="127"/>
      <c r="F15" s="30"/>
      <c r="AA15" s="46"/>
      <c r="AC15" s="142" t="s">
        <v>4</v>
      </c>
      <c r="AD15" s="24" t="s">
        <v>5</v>
      </c>
      <c r="AE15" s="36">
        <f>+IF(AA14=1,VLOOKUP(D5,AA25:AB34,2)*AA8,AB26*AA8)</f>
        <v>1910</v>
      </c>
      <c r="AF15" s="36" t="str">
        <f>+"×"&amp;AE14&amp;"="</f>
        <v>×0=</v>
      </c>
      <c r="AG15" s="26">
        <f>+AE15*AE14</f>
        <v>0</v>
      </c>
      <c r="AI15" s="47" t="s">
        <v>47</v>
      </c>
      <c r="AJ15" s="48">
        <v>0.1</v>
      </c>
    </row>
    <row r="16" spans="1:39" ht="18" customHeight="1" thickBot="1" x14ac:dyDescent="0.2">
      <c r="B16" s="77" t="s">
        <v>67</v>
      </c>
      <c r="C16" s="7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6"/>
      <c r="AC16" s="143"/>
      <c r="AD16" s="9" t="s">
        <v>6</v>
      </c>
      <c r="AE16" s="32">
        <f>+AT31</f>
        <v>14</v>
      </c>
      <c r="AF16" s="32" t="str">
        <f>+"×"&amp;AE14&amp;"="</f>
        <v>×0=</v>
      </c>
      <c r="AG16" s="33">
        <f>+AE16*AE14</f>
        <v>0</v>
      </c>
    </row>
    <row r="17" spans="1:48" ht="21" customHeight="1" x14ac:dyDescent="0.15">
      <c r="B17" s="165" t="s">
        <v>3</v>
      </c>
      <c r="C17" s="78" t="s">
        <v>63</v>
      </c>
      <c r="D17" s="111">
        <f>+IF(OR($D$4="",$D$5="",$D$6="",$AA$14="",AND($AA$10=2,$AA$12=0)),"",SUM(D20:D21))</f>
        <v>2101</v>
      </c>
      <c r="E17" s="79" t="s">
        <v>46</v>
      </c>
      <c r="F17" s="41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4"/>
      <c r="AC17" s="144"/>
      <c r="AD17" s="148" t="s">
        <v>26</v>
      </c>
      <c r="AE17" s="148"/>
      <c r="AF17" s="148"/>
      <c r="AG17" s="35">
        <f>SUM(AG15:AG16)</f>
        <v>0</v>
      </c>
      <c r="AI17" s="4" t="s">
        <v>60</v>
      </c>
    </row>
    <row r="18" spans="1:48" ht="21" customHeight="1" x14ac:dyDescent="0.15">
      <c r="B18" s="166"/>
      <c r="C18" s="80" t="s">
        <v>71</v>
      </c>
      <c r="D18" s="81">
        <f>+IF(OR($D$4="",$D$5="",$D$6="",$AA$14="",AND($AA$10=2,$AA$12=0)),"",AL5)</f>
        <v>1910</v>
      </c>
      <c r="E18" s="82" t="s">
        <v>46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  <c r="AI18" s="4" t="s">
        <v>61</v>
      </c>
    </row>
    <row r="19" spans="1:48" ht="21" customHeight="1" x14ac:dyDescent="0.15">
      <c r="B19" s="166"/>
      <c r="C19" s="80" t="s">
        <v>72</v>
      </c>
      <c r="D19" s="81">
        <f>+IF(OR($D$4="",$D$5="",$D$6="",$AA$14="",AND($AA$10=2,$AA$12=0)),"",AK6)</f>
        <v>0</v>
      </c>
      <c r="E19" s="82" t="s">
        <v>46</v>
      </c>
      <c r="F19" s="43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6"/>
      <c r="AC19" s="118" t="s">
        <v>7</v>
      </c>
      <c r="AD19" s="24" t="s">
        <v>8</v>
      </c>
      <c r="AE19" s="20">
        <f>+IF(AA4=3,AB39,AB38)*AA8</f>
        <v>1252</v>
      </c>
      <c r="AF19" s="20" t="str">
        <f>+"×"&amp;AE14&amp;"="</f>
        <v>×0=</v>
      </c>
      <c r="AG19" s="37">
        <f>+AE19*AE14</f>
        <v>0</v>
      </c>
      <c r="AI19" s="49" t="s">
        <v>70</v>
      </c>
    </row>
    <row r="20" spans="1:48" ht="21" customHeight="1" x14ac:dyDescent="0.15">
      <c r="B20" s="166"/>
      <c r="C20" s="83" t="s">
        <v>74</v>
      </c>
      <c r="D20" s="81">
        <f>+IF(OR($D$4="",$D$5="",$D$6="",$AA$14="",AND($AA$10=2,$AA$12=0)),"",SUM(D18:D19))</f>
        <v>1910</v>
      </c>
      <c r="E20" s="82" t="s">
        <v>46</v>
      </c>
      <c r="F20" s="41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6"/>
      <c r="AC20" s="119"/>
      <c r="AD20" s="9" t="s">
        <v>9</v>
      </c>
      <c r="AE20" s="50">
        <f>+AT45</f>
        <v>10</v>
      </c>
      <c r="AF20" s="39" t="str">
        <f>+"×"&amp;AE14&amp;"="</f>
        <v>×0=</v>
      </c>
      <c r="AG20" s="40">
        <f>+AE20*AE14</f>
        <v>0</v>
      </c>
      <c r="AI20" s="49" t="s">
        <v>62</v>
      </c>
    </row>
    <row r="21" spans="1:48" s="19" customFormat="1" ht="21" customHeight="1" x14ac:dyDescent="0.15">
      <c r="A21" s="4"/>
      <c r="B21" s="167"/>
      <c r="C21" s="84" t="s">
        <v>73</v>
      </c>
      <c r="D21" s="85">
        <f>+IF(OR($D$4="",$D$5="",$D$6="",$AA$14="",AND($AA$10=2,$AA$12=0)),"",INT(D20*$AJ$15))</f>
        <v>191</v>
      </c>
      <c r="E21" s="86" t="s">
        <v>46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4"/>
      <c r="AB21" s="4"/>
      <c r="AC21" s="120"/>
      <c r="AD21" s="148" t="s">
        <v>26</v>
      </c>
      <c r="AE21" s="148"/>
      <c r="AF21" s="148"/>
      <c r="AG21" s="35">
        <f>SUM(AG19:AG20)</f>
        <v>0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1" customHeight="1" x14ac:dyDescent="0.15">
      <c r="B22" s="162" t="s">
        <v>45</v>
      </c>
      <c r="C22" s="87" t="s">
        <v>63</v>
      </c>
      <c r="D22" s="110">
        <f>+IF(OR($D$4="",$D$5="",$D$6="",$AA$14="",AND($AA$10=2,$AA$12=0)),"",SUM(D25:D26))</f>
        <v>1377</v>
      </c>
      <c r="E22" s="88" t="s">
        <v>46</v>
      </c>
      <c r="F22" s="43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4"/>
      <c r="AB22" s="44"/>
      <c r="AC22" s="19"/>
      <c r="AD22" s="19"/>
      <c r="AE22" s="46"/>
      <c r="AF22" s="46"/>
      <c r="AG22" s="46"/>
      <c r="AH22" s="46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ht="21" customHeight="1" x14ac:dyDescent="0.15">
      <c r="B23" s="163"/>
      <c r="C23" s="89" t="s">
        <v>8</v>
      </c>
      <c r="D23" s="90">
        <f>+IF(OR($D$4="",$D$5="",$D$6="",$AA$14="",AND($AA$10=2,$AA$12=0)),"",AL7)</f>
        <v>1252</v>
      </c>
      <c r="E23" s="91" t="s">
        <v>46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" t="s">
        <v>4</v>
      </c>
      <c r="AK23" s="4" t="s">
        <v>53</v>
      </c>
    </row>
    <row r="24" spans="1:48" ht="21" customHeight="1" x14ac:dyDescent="0.15">
      <c r="B24" s="163"/>
      <c r="C24" s="89" t="s">
        <v>9</v>
      </c>
      <c r="D24" s="90">
        <f>+IF(OR($D$4="",$D$5="",$D$6="",$AA$14="",AND($AA$10=2,$AA$12=0)),"",AK8)</f>
        <v>0</v>
      </c>
      <c r="E24" s="91" t="s">
        <v>46</v>
      </c>
      <c r="F24" s="41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" t="s">
        <v>5</v>
      </c>
      <c r="AC24" s="51" t="s">
        <v>6</v>
      </c>
      <c r="AK24" s="52" t="s">
        <v>27</v>
      </c>
      <c r="AO24" s="53" t="s">
        <v>51</v>
      </c>
      <c r="AP24" s="52" t="s">
        <v>28</v>
      </c>
      <c r="AT24" s="53" t="s">
        <v>51</v>
      </c>
    </row>
    <row r="25" spans="1:48" ht="21" customHeight="1" x14ac:dyDescent="0.15">
      <c r="B25" s="163"/>
      <c r="C25" s="92" t="s">
        <v>74</v>
      </c>
      <c r="D25" s="90">
        <f>+IF(OR($D$4="",$D$5="",$D$6="",$AA$14="",AND($AA$10=2,$AA$12=0)),"",SUM(D23:D24))</f>
        <v>1252</v>
      </c>
      <c r="E25" s="91" t="s">
        <v>46</v>
      </c>
      <c r="F25" s="43"/>
      <c r="AA25" s="116">
        <v>13</v>
      </c>
      <c r="AB25" s="54">
        <v>835</v>
      </c>
      <c r="AC25" s="150" t="s">
        <v>15</v>
      </c>
      <c r="AD25" s="150" t="s">
        <v>16</v>
      </c>
      <c r="AE25" s="150"/>
      <c r="AF25" s="150" t="s">
        <v>17</v>
      </c>
      <c r="AG25" s="150"/>
      <c r="AH25" s="150" t="s">
        <v>18</v>
      </c>
      <c r="AI25" s="150"/>
      <c r="AJ25" s="38"/>
      <c r="AK25" s="117" t="s">
        <v>19</v>
      </c>
      <c r="AL25" s="55" t="s">
        <v>25</v>
      </c>
      <c r="AM25" s="55" t="s">
        <v>41</v>
      </c>
      <c r="AN25" s="55" t="s">
        <v>23</v>
      </c>
      <c r="AO25" s="56" t="s">
        <v>24</v>
      </c>
      <c r="AP25" s="117" t="s">
        <v>19</v>
      </c>
      <c r="AQ25" s="55" t="s">
        <v>25</v>
      </c>
      <c r="AR25" s="55" t="s">
        <v>41</v>
      </c>
      <c r="AS25" s="55" t="s">
        <v>23</v>
      </c>
      <c r="AT25" s="56" t="s">
        <v>24</v>
      </c>
    </row>
    <row r="26" spans="1:48" s="77" customFormat="1" ht="21" customHeight="1" x14ac:dyDescent="0.15">
      <c r="A26" s="19"/>
      <c r="B26" s="164"/>
      <c r="C26" s="93" t="s">
        <v>73</v>
      </c>
      <c r="D26" s="94">
        <f>+IF(OR($D$4="",$D$5="",$D$6="",$AA$14="",AND($AA$10=2,$AA$12=0)),"",INT(D25*$AJ$15))</f>
        <v>125</v>
      </c>
      <c r="E26" s="95" t="s">
        <v>46</v>
      </c>
      <c r="F26" s="5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97">
        <v>20</v>
      </c>
      <c r="AB26" s="98">
        <v>955</v>
      </c>
      <c r="AC26" s="150"/>
      <c r="AD26" s="97" t="s">
        <v>21</v>
      </c>
      <c r="AE26" s="97" t="s">
        <v>22</v>
      </c>
      <c r="AF26" s="97" t="s">
        <v>21</v>
      </c>
      <c r="AG26" s="97" t="s">
        <v>22</v>
      </c>
      <c r="AH26" s="97" t="s">
        <v>21</v>
      </c>
      <c r="AI26" s="97" t="s">
        <v>22</v>
      </c>
      <c r="AJ26" s="30"/>
      <c r="AK26" s="99">
        <f>10*$AA$8</f>
        <v>20</v>
      </c>
      <c r="AL26" s="100">
        <f>+IF($AC$4-AK26&lt;=0,0,$AC$4-AK26)</f>
        <v>0</v>
      </c>
      <c r="AM26" s="100">
        <f>+IF(AC4-AL26&lt;=0,0,AC4-AL26)</f>
        <v>0</v>
      </c>
      <c r="AN26" s="100">
        <f>+IF(AA14=1,IF(AA4=1,INDEX(AD27:AE31,1,MATCH(AA6,AD26:AE26,0)),IF(AA4=2,INDEX(AF27:AG31,1,MATCH(AA6,AF26:AG26,0)),IF(AA4=3,INDEX(AH27:AI31,1,MATCH(AA6,AH26:AI26,0)),""))),AD27)</f>
        <v>14</v>
      </c>
      <c r="AO26" s="101">
        <f>+AM26*AN26</f>
        <v>0</v>
      </c>
      <c r="AP26" s="99">
        <f>+AK26</f>
        <v>20</v>
      </c>
      <c r="AQ26" s="100">
        <f>+IF($AC$14-AP26&lt;=0,0,$AC$14-AP26)</f>
        <v>0</v>
      </c>
      <c r="AR26" s="100">
        <f>+IF(AC14-AQ26&lt;=0,0,AC14-AQ26)</f>
        <v>1</v>
      </c>
      <c r="AS26" s="100">
        <f>+AN26</f>
        <v>14</v>
      </c>
      <c r="AT26" s="101">
        <f>+AR26*AS26</f>
        <v>14</v>
      </c>
    </row>
    <row r="27" spans="1:48" s="77" customFormat="1" ht="21" customHeight="1" x14ac:dyDescent="0.15">
      <c r="A27" s="4"/>
      <c r="B27" s="160" t="s">
        <v>59</v>
      </c>
      <c r="C27" s="168">
        <f>+IF(OR($D$4="",$D$5="",$D$6="",$AA$14="",AND($AA$10=2,$AA$12=0)),"",SUM(D17,D22))</f>
        <v>3478</v>
      </c>
      <c r="D27" s="169"/>
      <c r="E27" s="172" t="s">
        <v>58</v>
      </c>
      <c r="F27" s="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97">
        <v>25</v>
      </c>
      <c r="AB27" s="102">
        <v>1365</v>
      </c>
      <c r="AC27" s="103" t="s">
        <v>14</v>
      </c>
      <c r="AD27" s="98">
        <v>14</v>
      </c>
      <c r="AE27" s="98">
        <v>155</v>
      </c>
      <c r="AF27" s="104">
        <v>14</v>
      </c>
      <c r="AG27" s="104">
        <v>320</v>
      </c>
      <c r="AH27" s="98">
        <v>14</v>
      </c>
      <c r="AI27" s="104">
        <v>83</v>
      </c>
      <c r="AJ27" s="105"/>
      <c r="AK27" s="99">
        <f>10*$AA$8</f>
        <v>20</v>
      </c>
      <c r="AL27" s="100">
        <f>+IF(AL26-AK27&lt;=0,0,AL26-AK27)</f>
        <v>0</v>
      </c>
      <c r="AM27" s="100">
        <f>+IF(AL26-AL27&lt;=0,0,AL26-AL27)</f>
        <v>0</v>
      </c>
      <c r="AN27" s="100">
        <f>+IF(AA14=1,IF(AA4=1,INDEX(AD27:AE31,2,MATCH(AA6,AD26:AE26,0)),IF(AA4=2,INDEX(AF27:AG31,2,MATCH(AA6,AF26:AG26,0)),IF(AA4=3,INDEX(AH27:AI31,2,MATCH(AA6,AH26:AI26,0)),""))),AD28)</f>
        <v>155</v>
      </c>
      <c r="AO27" s="101">
        <f t="shared" ref="AO27:AO30" si="0">+AM27*AN27</f>
        <v>0</v>
      </c>
      <c r="AP27" s="99">
        <f>+AK27</f>
        <v>20</v>
      </c>
      <c r="AQ27" s="100">
        <f>+IF(AQ26-AP27&lt;=0,0,AQ26-AP27)</f>
        <v>0</v>
      </c>
      <c r="AR27" s="100">
        <f>+IF(AQ26-AQ27&lt;=0,0,AQ26-AQ27)</f>
        <v>0</v>
      </c>
      <c r="AS27" s="100">
        <f>+AN27</f>
        <v>155</v>
      </c>
      <c r="AT27" s="101">
        <f t="shared" ref="AT27:AT30" si="1">+AR27*AS27</f>
        <v>0</v>
      </c>
    </row>
    <row r="28" spans="1:48" s="77" customFormat="1" ht="21" customHeight="1" thickBot="1" x14ac:dyDescent="0.2">
      <c r="A28" s="4"/>
      <c r="B28" s="161"/>
      <c r="C28" s="170"/>
      <c r="D28" s="171"/>
      <c r="E28" s="173"/>
      <c r="F28" s="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97">
        <v>30</v>
      </c>
      <c r="AB28" s="102">
        <v>3350</v>
      </c>
      <c r="AC28" s="103" t="s">
        <v>13</v>
      </c>
      <c r="AD28" s="98">
        <v>155</v>
      </c>
      <c r="AE28" s="104">
        <v>155</v>
      </c>
      <c r="AF28" s="104">
        <v>320</v>
      </c>
      <c r="AG28" s="104">
        <v>320</v>
      </c>
      <c r="AH28" s="104">
        <v>83</v>
      </c>
      <c r="AI28" s="104">
        <v>83</v>
      </c>
      <c r="AJ28" s="105"/>
      <c r="AK28" s="99">
        <f>10*$AA$8</f>
        <v>20</v>
      </c>
      <c r="AL28" s="100">
        <f>+IF(AL27-AK28&lt;=0,0,AL27-AK28)</f>
        <v>0</v>
      </c>
      <c r="AM28" s="100">
        <f>+IF(AL27-AL28&lt;=0,0,AL27-AL28)</f>
        <v>0</v>
      </c>
      <c r="AN28" s="100">
        <f>+IF(AA14=1,IF(AA4=1,INDEX(AD27:AE31,3,MATCH(AA6,AD26:AE26,0)),IF(AA4=2,INDEX(AF27:AG31,3,MATCH(AA6,AF26:AG26,0)),IF(AA4=3,INDEX(AH27:AI31,3,MATCH(AA6,AH26:AI26,0)),""))),AD29)</f>
        <v>179</v>
      </c>
      <c r="AO28" s="101">
        <f t="shared" si="0"/>
        <v>0</v>
      </c>
      <c r="AP28" s="99">
        <f>+AK28</f>
        <v>20</v>
      </c>
      <c r="AQ28" s="100">
        <f>+IF(AQ27-AP28&lt;=0,0,AQ27-AP28)</f>
        <v>0</v>
      </c>
      <c r="AR28" s="100">
        <f>+IF(AQ27-AQ28&lt;=0,0,AQ27-AQ28)</f>
        <v>0</v>
      </c>
      <c r="AS28" s="100">
        <f>+AN28</f>
        <v>179</v>
      </c>
      <c r="AT28" s="101">
        <f t="shared" si="1"/>
        <v>0</v>
      </c>
    </row>
    <row r="29" spans="1:48" s="77" customFormat="1" ht="15" customHeight="1" x14ac:dyDescent="0.15">
      <c r="A29" s="19"/>
      <c r="B29" s="124"/>
      <c r="C29" s="125"/>
      <c r="D29" s="125"/>
      <c r="E29" s="113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97">
        <v>40</v>
      </c>
      <c r="AB29" s="102">
        <v>6700</v>
      </c>
      <c r="AC29" s="106" t="s">
        <v>10</v>
      </c>
      <c r="AD29" s="98">
        <v>179</v>
      </c>
      <c r="AE29" s="98">
        <v>179</v>
      </c>
      <c r="AF29" s="104">
        <v>320</v>
      </c>
      <c r="AG29" s="104">
        <v>320</v>
      </c>
      <c r="AH29" s="104">
        <v>83</v>
      </c>
      <c r="AI29" s="104">
        <v>83</v>
      </c>
      <c r="AJ29" s="105"/>
      <c r="AK29" s="99">
        <f>70*$AA$8</f>
        <v>140</v>
      </c>
      <c r="AL29" s="100">
        <f t="shared" ref="AL29" si="2">+IF(AL28-AK29&lt;=0,0,AL28-AK29)</f>
        <v>0</v>
      </c>
      <c r="AM29" s="100">
        <f>+IF(AL28-AL29&lt;=0,0,AL28-AL29)</f>
        <v>0</v>
      </c>
      <c r="AN29" s="100">
        <f>+IF(AA14=1,IF(AA4=1,INDEX(AD27:AE31,4,MATCH(AA6,AD26:AE26,0)),IF(AA4=2,INDEX(AF27:AG31,4,MATCH(AA6,AF26:AG26,0)),IF(AA4=3,INDEX(AH27:AI31,4,MATCH(AA6,AH26:AI26,0)),""))),AD30)</f>
        <v>258</v>
      </c>
      <c r="AO29" s="101">
        <f t="shared" si="0"/>
        <v>0</v>
      </c>
      <c r="AP29" s="99">
        <f>+AK29</f>
        <v>140</v>
      </c>
      <c r="AQ29" s="100">
        <f>+IF(AQ28-AP29&lt;=0,0,AQ28-AP29)</f>
        <v>0</v>
      </c>
      <c r="AR29" s="100">
        <f>+IF(AQ28-AQ29&lt;=0,0,AQ28-AQ29)</f>
        <v>0</v>
      </c>
      <c r="AS29" s="100">
        <f>+AN29</f>
        <v>258</v>
      </c>
      <c r="AT29" s="101">
        <f t="shared" si="1"/>
        <v>0</v>
      </c>
    </row>
    <row r="30" spans="1:48" s="77" customFormat="1" ht="18.75" customHeight="1" x14ac:dyDescent="0.15">
      <c r="A30" s="77" t="s">
        <v>92</v>
      </c>
      <c r="B30" s="4"/>
      <c r="C30" s="4"/>
      <c r="D30" s="4"/>
      <c r="E30" s="4"/>
      <c r="F30" s="5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97">
        <v>50</v>
      </c>
      <c r="AB30" s="102">
        <v>13500</v>
      </c>
      <c r="AC30" s="106" t="s">
        <v>11</v>
      </c>
      <c r="AD30" s="107">
        <v>258</v>
      </c>
      <c r="AE30" s="108">
        <v>258</v>
      </c>
      <c r="AF30" s="104">
        <v>320</v>
      </c>
      <c r="AG30" s="104">
        <v>320</v>
      </c>
      <c r="AH30" s="104">
        <v>83</v>
      </c>
      <c r="AI30" s="104">
        <v>83</v>
      </c>
      <c r="AJ30" s="105"/>
      <c r="AK30" s="109" t="s">
        <v>20</v>
      </c>
      <c r="AL30" s="105">
        <v>0</v>
      </c>
      <c r="AM30" s="100">
        <f>+AL29</f>
        <v>0</v>
      </c>
      <c r="AN30" s="100">
        <f>+IF(AA14=1,IF(AA4=1,INDEX(AD27:AE31,5,MATCH(AA6,AD26:AE26,0)),IF(AA4=2,INDEX(AF27:AG31,5,MATCH(AA6,AF26:AG26,0)),IF(AA4=3,INDEX(AH27:AI31,5,MATCH(AA6,AH26:AI26,0)),""))),AD31)</f>
        <v>320</v>
      </c>
      <c r="AO30" s="101">
        <f t="shared" si="0"/>
        <v>0</v>
      </c>
      <c r="AP30" s="109" t="str">
        <f>+AK30</f>
        <v>∞</v>
      </c>
      <c r="AQ30" s="105">
        <v>0</v>
      </c>
      <c r="AR30" s="100">
        <f>+AQ29</f>
        <v>0</v>
      </c>
      <c r="AS30" s="100">
        <f>+AN30</f>
        <v>320</v>
      </c>
      <c r="AT30" s="101">
        <f t="shared" si="1"/>
        <v>0</v>
      </c>
    </row>
    <row r="31" spans="1:48" ht="18.75" customHeight="1" x14ac:dyDescent="0.15">
      <c r="A31" s="77" t="s">
        <v>94</v>
      </c>
      <c r="B31" s="77"/>
      <c r="C31" s="77"/>
      <c r="D31" s="77"/>
      <c r="E31" s="77"/>
      <c r="F31" s="96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16">
        <v>75</v>
      </c>
      <c r="AB31" s="57">
        <v>33800</v>
      </c>
      <c r="AC31" s="59" t="s">
        <v>12</v>
      </c>
      <c r="AD31" s="60">
        <v>320</v>
      </c>
      <c r="AE31" s="61">
        <v>320</v>
      </c>
      <c r="AF31" s="58">
        <v>320</v>
      </c>
      <c r="AG31" s="58">
        <v>320</v>
      </c>
      <c r="AH31" s="58">
        <v>83</v>
      </c>
      <c r="AI31" s="58">
        <v>83</v>
      </c>
      <c r="AJ31" s="49"/>
      <c r="AK31" s="138" t="s">
        <v>26</v>
      </c>
      <c r="AL31" s="139"/>
      <c r="AM31" s="62">
        <f>SUM(AM26:AM30)</f>
        <v>0</v>
      </c>
      <c r="AN31" s="62"/>
      <c r="AO31" s="63">
        <f>SUM(AO26:AO30)</f>
        <v>0</v>
      </c>
      <c r="AP31" s="138" t="s">
        <v>26</v>
      </c>
      <c r="AQ31" s="139"/>
      <c r="AR31" s="62">
        <f>SUM(AR26:AR30)</f>
        <v>1</v>
      </c>
      <c r="AS31" s="62"/>
      <c r="AT31" s="63">
        <f>SUM(AT26:AT30)</f>
        <v>14</v>
      </c>
    </row>
    <row r="32" spans="1:48" ht="18.75" customHeight="1" x14ac:dyDescent="0.15">
      <c r="A32" s="105" t="s">
        <v>75</v>
      </c>
      <c r="B32" s="77"/>
      <c r="C32" s="77"/>
      <c r="D32" s="77"/>
      <c r="E32" s="77"/>
      <c r="F32" s="96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16">
        <v>100</v>
      </c>
      <c r="AB32" s="57">
        <v>51000</v>
      </c>
      <c r="AK32" s="38"/>
      <c r="AL32" s="38"/>
      <c r="AO32" s="64"/>
      <c r="AP32" s="38"/>
      <c r="AQ32" s="38"/>
      <c r="AT32" s="64"/>
    </row>
    <row r="33" spans="2:46" ht="18.75" customHeight="1" x14ac:dyDescent="0.15">
      <c r="B33" s="77"/>
      <c r="C33" s="77"/>
      <c r="D33" s="77"/>
      <c r="E33" s="77"/>
      <c r="F33" s="96"/>
      <c r="AA33" s="116">
        <v>150</v>
      </c>
      <c r="AB33" s="57">
        <v>112000</v>
      </c>
      <c r="AK33" s="52" t="s">
        <v>27</v>
      </c>
      <c r="AO33" s="65" t="s">
        <v>52</v>
      </c>
      <c r="AP33" s="52" t="s">
        <v>28</v>
      </c>
      <c r="AT33" s="53" t="s">
        <v>52</v>
      </c>
    </row>
    <row r="34" spans="2:46" ht="18.75" customHeight="1" x14ac:dyDescent="0.15">
      <c r="B34" s="46"/>
      <c r="C34" s="46"/>
      <c r="D34" s="46"/>
      <c r="E34" s="46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16">
        <v>200</v>
      </c>
      <c r="AB34" s="57">
        <v>173000</v>
      </c>
      <c r="AC34" s="49" t="s">
        <v>9</v>
      </c>
      <c r="AK34" s="118" t="s">
        <v>19</v>
      </c>
      <c r="AL34" s="66" t="s">
        <v>25</v>
      </c>
      <c r="AM34" s="66" t="s">
        <v>41</v>
      </c>
      <c r="AN34" s="66" t="s">
        <v>23</v>
      </c>
      <c r="AO34" s="67" t="s">
        <v>42</v>
      </c>
      <c r="AP34" s="118" t="s">
        <v>19</v>
      </c>
      <c r="AQ34" s="66" t="s">
        <v>25</v>
      </c>
      <c r="AR34" s="66" t="s">
        <v>41</v>
      </c>
      <c r="AS34" s="66" t="s">
        <v>23</v>
      </c>
      <c r="AT34" s="67" t="s">
        <v>42</v>
      </c>
    </row>
    <row r="35" spans="2:46" ht="18.75" customHeight="1" x14ac:dyDescent="0.15">
      <c r="F35" s="96"/>
      <c r="AC35" s="68" t="s">
        <v>15</v>
      </c>
      <c r="AD35" s="68" t="s">
        <v>30</v>
      </c>
      <c r="AE35" s="68" t="s">
        <v>40</v>
      </c>
      <c r="AK35" s="69">
        <f>10*AA8</f>
        <v>20</v>
      </c>
      <c r="AL35" s="39">
        <f>+IF($AC$4-AK35&lt;=0,0,$AC$4-AK35)</f>
        <v>0</v>
      </c>
      <c r="AM35" s="39">
        <f>+IF(AC4-AL35&lt;=0,0,AC4-AL35)</f>
        <v>0</v>
      </c>
      <c r="AN35" s="39">
        <f t="shared" ref="AN35:AN44" si="3">+IF($AA$14=1,IF($AA$4=3,AE36,AD36),AD36)</f>
        <v>10</v>
      </c>
      <c r="AO35" s="33">
        <f>+AM35*AN35</f>
        <v>0</v>
      </c>
      <c r="AP35" s="69">
        <f t="shared" ref="AP35:AP44" si="4">+AK35</f>
        <v>20</v>
      </c>
      <c r="AQ35" s="39">
        <f>+IF($AC$14-AK35&lt;=0,0,$AC$14-AK35)</f>
        <v>0</v>
      </c>
      <c r="AR35" s="39">
        <f>+IF(AC14-AQ35&lt;=0,0,AC14-AQ35)</f>
        <v>1</v>
      </c>
      <c r="AS35" s="39">
        <f t="shared" ref="AS35:AS44" si="5">+AN35</f>
        <v>10</v>
      </c>
      <c r="AT35" s="33">
        <f>+AR35*AS35</f>
        <v>10</v>
      </c>
    </row>
    <row r="36" spans="2:46" ht="18.75" customHeight="1" x14ac:dyDescent="0.15">
      <c r="AA36" s="4" t="s">
        <v>29</v>
      </c>
      <c r="AC36" s="54" t="s">
        <v>14</v>
      </c>
      <c r="AD36" s="70">
        <v>10</v>
      </c>
      <c r="AE36" s="70">
        <v>10</v>
      </c>
      <c r="AK36" s="69">
        <f>20*AA8</f>
        <v>40</v>
      </c>
      <c r="AL36" s="39">
        <f>+IF(AL35-AK36&lt;=0,0,AL35-AK36)</f>
        <v>0</v>
      </c>
      <c r="AM36" s="39">
        <f>+IF(AL35-AL36&lt;=0,0,AL35-AL36)</f>
        <v>0</v>
      </c>
      <c r="AN36" s="39">
        <f t="shared" si="3"/>
        <v>89</v>
      </c>
      <c r="AO36" s="33">
        <f t="shared" ref="AO36:AO44" si="6">+AM36*AN36</f>
        <v>0</v>
      </c>
      <c r="AP36" s="69">
        <f t="shared" si="4"/>
        <v>40</v>
      </c>
      <c r="AQ36" s="39">
        <f>+IF(AQ35-AP36&lt;=0,0,AQ35-AP36)</f>
        <v>0</v>
      </c>
      <c r="AR36" s="39">
        <f>+IF(AQ35-AQ36&lt;=0,0,AQ35-AQ36)</f>
        <v>0</v>
      </c>
      <c r="AS36" s="39">
        <f t="shared" si="5"/>
        <v>89</v>
      </c>
      <c r="AT36" s="33">
        <f t="shared" ref="AT36:AT44" si="7">+AR36*AS36</f>
        <v>0</v>
      </c>
    </row>
    <row r="37" spans="2:46" ht="18.75" customHeight="1" x14ac:dyDescent="0.15">
      <c r="AA37" s="46" t="s">
        <v>8</v>
      </c>
      <c r="AB37" s="49"/>
      <c r="AC37" s="54" t="s">
        <v>32</v>
      </c>
      <c r="AD37" s="70">
        <v>89</v>
      </c>
      <c r="AE37" s="70">
        <v>45</v>
      </c>
      <c r="AK37" s="69">
        <f>20*AA8</f>
        <v>40</v>
      </c>
      <c r="AL37" s="39">
        <f>+IF(AL36-AK37&lt;=0,0,AL36-AK37)</f>
        <v>0</v>
      </c>
      <c r="AM37" s="39">
        <f t="shared" ref="AM37:AM43" si="8">+IF(AL36-AL37&lt;=0,0,AL36-AL37)</f>
        <v>0</v>
      </c>
      <c r="AN37" s="39">
        <f t="shared" si="3"/>
        <v>99</v>
      </c>
      <c r="AO37" s="33">
        <f t="shared" si="6"/>
        <v>0</v>
      </c>
      <c r="AP37" s="69">
        <f t="shared" si="4"/>
        <v>40</v>
      </c>
      <c r="AQ37" s="39">
        <f>+IF(AQ36-AP37&lt;=0,0,AQ36-AP37)</f>
        <v>0</v>
      </c>
      <c r="AR37" s="39">
        <f t="shared" ref="AR37:AR42" si="9">+IF(AQ36-AQ37&lt;=0,0,AQ36-AQ37)</f>
        <v>0</v>
      </c>
      <c r="AS37" s="39">
        <f t="shared" si="5"/>
        <v>99</v>
      </c>
      <c r="AT37" s="33">
        <f t="shared" si="7"/>
        <v>0</v>
      </c>
    </row>
    <row r="38" spans="2:46" ht="18.75" customHeight="1" x14ac:dyDescent="0.15">
      <c r="AA38" s="68" t="s">
        <v>30</v>
      </c>
      <c r="AB38" s="54">
        <v>626</v>
      </c>
      <c r="AC38" s="54" t="s">
        <v>33</v>
      </c>
      <c r="AD38" s="70">
        <v>99</v>
      </c>
      <c r="AE38" s="70">
        <v>45</v>
      </c>
      <c r="AK38" s="69">
        <f>50*AA8</f>
        <v>100</v>
      </c>
      <c r="AL38" s="39">
        <f t="shared" ref="AL38:AL42" si="10">+IF(AL37-AK38&lt;=0,0,AL37-AK38)</f>
        <v>0</v>
      </c>
      <c r="AM38" s="39">
        <f>+IF(AL37-AL38&lt;=0,0,AL37-AL38)</f>
        <v>0</v>
      </c>
      <c r="AN38" s="39">
        <f t="shared" si="3"/>
        <v>110</v>
      </c>
      <c r="AO38" s="33">
        <f t="shared" si="6"/>
        <v>0</v>
      </c>
      <c r="AP38" s="69">
        <f t="shared" si="4"/>
        <v>100</v>
      </c>
      <c r="AQ38" s="39">
        <f t="shared" ref="AQ38:AQ43" si="11">+IF(AQ37-AP38&lt;=0,0,AQ37-AP38)</f>
        <v>0</v>
      </c>
      <c r="AR38" s="39">
        <f t="shared" si="9"/>
        <v>0</v>
      </c>
      <c r="AS38" s="39">
        <f t="shared" si="5"/>
        <v>110</v>
      </c>
      <c r="AT38" s="33">
        <f t="shared" si="7"/>
        <v>0</v>
      </c>
    </row>
    <row r="39" spans="2:46" ht="18.75" customHeight="1" x14ac:dyDescent="0.15">
      <c r="AA39" s="68" t="s">
        <v>77</v>
      </c>
      <c r="AB39" s="54">
        <v>263</v>
      </c>
      <c r="AC39" s="54" t="s">
        <v>34</v>
      </c>
      <c r="AD39" s="70">
        <v>110</v>
      </c>
      <c r="AE39" s="70">
        <v>45</v>
      </c>
      <c r="AK39" s="69">
        <f>100*AA8</f>
        <v>200</v>
      </c>
      <c r="AL39" s="39">
        <f t="shared" si="10"/>
        <v>0</v>
      </c>
      <c r="AM39" s="39">
        <f t="shared" si="8"/>
        <v>0</v>
      </c>
      <c r="AN39" s="39">
        <f t="shared" si="3"/>
        <v>115</v>
      </c>
      <c r="AO39" s="33">
        <f t="shared" si="6"/>
        <v>0</v>
      </c>
      <c r="AP39" s="69">
        <f t="shared" si="4"/>
        <v>200</v>
      </c>
      <c r="AQ39" s="39">
        <f t="shared" si="11"/>
        <v>0</v>
      </c>
      <c r="AR39" s="39">
        <f t="shared" si="9"/>
        <v>0</v>
      </c>
      <c r="AS39" s="39">
        <f t="shared" si="5"/>
        <v>115</v>
      </c>
      <c r="AT39" s="33">
        <f t="shared" si="7"/>
        <v>0</v>
      </c>
    </row>
    <row r="40" spans="2:46" ht="18.75" customHeight="1" x14ac:dyDescent="0.15">
      <c r="AA40" s="38"/>
      <c r="AC40" s="54" t="s">
        <v>35</v>
      </c>
      <c r="AD40" s="70">
        <v>115</v>
      </c>
      <c r="AE40" s="70">
        <v>45</v>
      </c>
      <c r="AK40" s="69">
        <f>400*AA8</f>
        <v>800</v>
      </c>
      <c r="AL40" s="39">
        <f t="shared" si="10"/>
        <v>0</v>
      </c>
      <c r="AM40" s="39">
        <f t="shared" si="8"/>
        <v>0</v>
      </c>
      <c r="AN40" s="39">
        <f t="shared" si="3"/>
        <v>132</v>
      </c>
      <c r="AO40" s="33">
        <f t="shared" si="6"/>
        <v>0</v>
      </c>
      <c r="AP40" s="69">
        <f t="shared" si="4"/>
        <v>800</v>
      </c>
      <c r="AQ40" s="39">
        <f t="shared" si="11"/>
        <v>0</v>
      </c>
      <c r="AR40" s="39">
        <f t="shared" si="9"/>
        <v>0</v>
      </c>
      <c r="AS40" s="39">
        <f t="shared" si="5"/>
        <v>132</v>
      </c>
      <c r="AT40" s="33">
        <f t="shared" si="7"/>
        <v>0</v>
      </c>
    </row>
    <row r="41" spans="2:46" ht="18.75" customHeight="1" x14ac:dyDescent="0.15">
      <c r="AA41" s="4" t="s">
        <v>50</v>
      </c>
      <c r="AB41" s="49"/>
      <c r="AC41" s="54" t="s">
        <v>36</v>
      </c>
      <c r="AD41" s="70">
        <v>132</v>
      </c>
      <c r="AE41" s="70">
        <v>45</v>
      </c>
      <c r="AK41" s="69">
        <f>400*AA8</f>
        <v>800</v>
      </c>
      <c r="AL41" s="39">
        <f t="shared" si="10"/>
        <v>0</v>
      </c>
      <c r="AM41" s="39">
        <f t="shared" si="8"/>
        <v>0</v>
      </c>
      <c r="AN41" s="39">
        <f t="shared" si="3"/>
        <v>153</v>
      </c>
      <c r="AO41" s="33">
        <f t="shared" si="6"/>
        <v>0</v>
      </c>
      <c r="AP41" s="69">
        <f t="shared" si="4"/>
        <v>800</v>
      </c>
      <c r="AQ41" s="39">
        <f t="shared" si="11"/>
        <v>0</v>
      </c>
      <c r="AR41" s="39">
        <f t="shared" si="9"/>
        <v>0</v>
      </c>
      <c r="AS41" s="39">
        <f t="shared" si="5"/>
        <v>153</v>
      </c>
      <c r="AT41" s="33">
        <f t="shared" si="7"/>
        <v>0</v>
      </c>
    </row>
    <row r="42" spans="2:46" ht="27" x14ac:dyDescent="0.15">
      <c r="AA42" s="112" t="s">
        <v>78</v>
      </c>
      <c r="AB42" s="72">
        <v>1</v>
      </c>
      <c r="AC42" s="54" t="s">
        <v>37</v>
      </c>
      <c r="AD42" s="70">
        <v>153</v>
      </c>
      <c r="AE42" s="70">
        <v>45</v>
      </c>
      <c r="AK42" s="69">
        <f>4000*AA8</f>
        <v>8000</v>
      </c>
      <c r="AL42" s="39">
        <f t="shared" si="10"/>
        <v>0</v>
      </c>
      <c r="AM42" s="39">
        <f t="shared" si="8"/>
        <v>0</v>
      </c>
      <c r="AN42" s="39">
        <f t="shared" si="3"/>
        <v>179</v>
      </c>
      <c r="AO42" s="33">
        <f t="shared" si="6"/>
        <v>0</v>
      </c>
      <c r="AP42" s="69">
        <f t="shared" si="4"/>
        <v>8000</v>
      </c>
      <c r="AQ42" s="39">
        <f t="shared" si="11"/>
        <v>0</v>
      </c>
      <c r="AR42" s="39">
        <f t="shared" si="9"/>
        <v>0</v>
      </c>
      <c r="AS42" s="39">
        <f t="shared" si="5"/>
        <v>179</v>
      </c>
      <c r="AT42" s="33">
        <f t="shared" si="7"/>
        <v>0</v>
      </c>
    </row>
    <row r="43" spans="2:46" ht="18.75" customHeight="1" x14ac:dyDescent="0.15">
      <c r="AA43" s="71" t="s">
        <v>17</v>
      </c>
      <c r="AB43" s="72">
        <v>2</v>
      </c>
      <c r="AC43" s="54" t="s">
        <v>38</v>
      </c>
      <c r="AD43" s="70">
        <v>179</v>
      </c>
      <c r="AE43" s="70">
        <v>45</v>
      </c>
      <c r="AK43" s="69">
        <f>5000*AA8</f>
        <v>10000</v>
      </c>
      <c r="AL43" s="39">
        <f>+IF(AL42-AK43&lt;=0,0,AL42-AK43)</f>
        <v>0</v>
      </c>
      <c r="AM43" s="39">
        <f t="shared" si="8"/>
        <v>0</v>
      </c>
      <c r="AN43" s="39">
        <f t="shared" si="3"/>
        <v>200</v>
      </c>
      <c r="AO43" s="33">
        <f t="shared" si="6"/>
        <v>0</v>
      </c>
      <c r="AP43" s="69">
        <f t="shared" si="4"/>
        <v>10000</v>
      </c>
      <c r="AQ43" s="39">
        <f t="shared" si="11"/>
        <v>0</v>
      </c>
      <c r="AR43" s="39">
        <f>+IF(AQ42-AQ43&lt;=0,0,AQ42-AQ43)</f>
        <v>0</v>
      </c>
      <c r="AS43" s="39">
        <f t="shared" si="5"/>
        <v>200</v>
      </c>
      <c r="AT43" s="33">
        <f t="shared" si="7"/>
        <v>0</v>
      </c>
    </row>
    <row r="44" spans="2:46" ht="18.75" customHeight="1" x14ac:dyDescent="0.15">
      <c r="AA44" s="71" t="s">
        <v>93</v>
      </c>
      <c r="AB44" s="72">
        <v>3</v>
      </c>
      <c r="AC44" s="54" t="s">
        <v>39</v>
      </c>
      <c r="AD44" s="70">
        <v>200</v>
      </c>
      <c r="AE44" s="70">
        <v>45</v>
      </c>
      <c r="AK44" s="73" t="s">
        <v>20</v>
      </c>
      <c r="AL44" s="39">
        <v>0</v>
      </c>
      <c r="AM44" s="39">
        <f>+AL43</f>
        <v>0</v>
      </c>
      <c r="AN44" s="39">
        <f t="shared" si="3"/>
        <v>215</v>
      </c>
      <c r="AO44" s="33">
        <f t="shared" si="6"/>
        <v>0</v>
      </c>
      <c r="AP44" s="74" t="str">
        <f t="shared" si="4"/>
        <v>∞</v>
      </c>
      <c r="AQ44" s="27">
        <v>0</v>
      </c>
      <c r="AR44" s="27">
        <f>+AQ43</f>
        <v>0</v>
      </c>
      <c r="AS44" s="27">
        <f t="shared" si="5"/>
        <v>215</v>
      </c>
      <c r="AT44" s="35">
        <f t="shared" si="7"/>
        <v>0</v>
      </c>
    </row>
    <row r="45" spans="2:46" ht="18.75" customHeight="1" x14ac:dyDescent="0.15">
      <c r="AC45" s="57" t="s">
        <v>31</v>
      </c>
      <c r="AD45" s="70">
        <v>215</v>
      </c>
      <c r="AE45" s="70">
        <v>45</v>
      </c>
      <c r="AK45" s="138" t="s">
        <v>26</v>
      </c>
      <c r="AL45" s="139"/>
      <c r="AM45" s="62">
        <f>SUM(AM35:AM44)</f>
        <v>0</v>
      </c>
      <c r="AN45" s="62"/>
      <c r="AO45" s="63">
        <f>SUM(AO35:AO44)</f>
        <v>0</v>
      </c>
      <c r="AP45" s="138" t="s">
        <v>26</v>
      </c>
      <c r="AQ45" s="139"/>
      <c r="AR45" s="62">
        <f>SUM(AR35:AR44)</f>
        <v>1</v>
      </c>
      <c r="AS45" s="62"/>
      <c r="AT45" s="63">
        <f>SUM(AT35:AT44)</f>
        <v>10</v>
      </c>
    </row>
    <row r="46" spans="2:46" x14ac:dyDescent="0.15">
      <c r="AD46" s="75"/>
      <c r="AJ46" s="75"/>
    </row>
  </sheetData>
  <sheetProtection algorithmName="SHA-512" hashValue="uvUR8+u+ym972exk2/j6uQujeGFjhZKT2cB4A5u3QaBY7qrVu9iHjvdrQVIzkwpupnfT8XlcYohCj+zzhYHtBg==" saltValue="WtZ4T6F3b+EWxAnpJXcPcw==" spinCount="100000" sheet="1" objects="1" scenarios="1" selectLockedCells="1"/>
  <mergeCells count="36">
    <mergeCell ref="AC25:AC26"/>
    <mergeCell ref="B27:B28"/>
    <mergeCell ref="B22:B26"/>
    <mergeCell ref="B17:B21"/>
    <mergeCell ref="AP31:AQ31"/>
    <mergeCell ref="AD25:AE25"/>
    <mergeCell ref="AD21:AF21"/>
    <mergeCell ref="C27:D28"/>
    <mergeCell ref="E27:E28"/>
    <mergeCell ref="AH25:AI25"/>
    <mergeCell ref="AK31:AL31"/>
    <mergeCell ref="D5:E5"/>
    <mergeCell ref="D4:E4"/>
    <mergeCell ref="D6:E6"/>
    <mergeCell ref="AK13:AL13"/>
    <mergeCell ref="AC15:AC17"/>
    <mergeCell ref="AD17:AF17"/>
    <mergeCell ref="D7:E7"/>
    <mergeCell ref="D8:E8"/>
    <mergeCell ref="AI13:AJ13"/>
    <mergeCell ref="B5:C5"/>
    <mergeCell ref="B4:C4"/>
    <mergeCell ref="B6:C6"/>
    <mergeCell ref="AK45:AL45"/>
    <mergeCell ref="AP45:AQ45"/>
    <mergeCell ref="AM5:AM6"/>
    <mergeCell ref="AM7:AM8"/>
    <mergeCell ref="AC6:AC8"/>
    <mergeCell ref="AC10:AC12"/>
    <mergeCell ref="AD8:AF8"/>
    <mergeCell ref="AD12:AF12"/>
    <mergeCell ref="AI5:AI6"/>
    <mergeCell ref="AI7:AI8"/>
    <mergeCell ref="AI12:AJ12"/>
    <mergeCell ref="AK12:AL12"/>
    <mergeCell ref="AF25:AG25"/>
  </mergeCells>
  <phoneticPr fontId="2"/>
  <conditionalFormatting sqref="AA12">
    <cfRule type="cellIs" dxfId="2" priority="11" operator="notBetween">
      <formula>0</formula>
      <formula>100</formula>
    </cfRule>
  </conditionalFormatting>
  <conditionalFormatting sqref="D8:E8">
    <cfRule type="expression" dxfId="1" priority="1">
      <formula>AND($D$8&lt;&gt;"",$AA$10=1)</formula>
    </cfRule>
    <cfRule type="expression" dxfId="0" priority="8">
      <formula>$AA$10=2</formula>
    </cfRule>
  </conditionalFormatting>
  <dataValidations count="6">
    <dataValidation type="list" allowBlank="1" showInputMessage="1" showErrorMessage="1" errorTitle="用途" error="リストから選択してください。" sqref="D4:E4">
      <formula1>$AA$42:$AA$44</formula1>
    </dataValidation>
    <dataValidation type="whole" allowBlank="1" showInputMessage="1" showErrorMessage="1" errorTitle="水量" error="「0～100,000」を入力してください。" sqref="D6:E6">
      <formula1>0</formula1>
      <formula2>100000</formula2>
    </dataValidation>
    <dataValidation type="whole" allowBlank="1" showInputMessage="1" showErrorMessage="1" sqref="AA14">
      <formula1>1</formula1>
      <formula2>1000</formula2>
    </dataValidation>
    <dataValidation type="whole" allowBlank="1" showInputMessage="1" showErrorMessage="1" errorTitle="日数" error="「1～100」を入力してください。" sqref="D8:E8">
      <formula1>1</formula1>
      <formula2>100</formula2>
    </dataValidation>
    <dataValidation type="whole" allowBlank="1" showInputMessage="1" showErrorMessage="1" error="1～100を入力してください" sqref="AA12">
      <formula1>1</formula1>
      <formula2>100</formula2>
    </dataValidation>
    <dataValidation type="list" allowBlank="1" showInputMessage="1" showErrorMessage="1" errorTitle="口径" error="リストから選択してください。" sqref="D5:E5">
      <formula1>$AA$25:$AA$34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verticalDpi="300" r:id="rId1"/>
  <ignoredErrors>
    <ignoredError sqref="D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1</xdr:col>
                    <xdr:colOff>1343025</xdr:colOff>
                    <xdr:row>7</xdr:row>
                    <xdr:rowOff>0</xdr:rowOff>
                  </from>
                  <to>
                    <xdr:col>2</xdr:col>
                    <xdr:colOff>295275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2</xdr:col>
                    <xdr:colOff>285750</xdr:colOff>
                    <xdr:row>7</xdr:row>
                    <xdr:rowOff>0</xdr:rowOff>
                  </from>
                  <to>
                    <xdr:col>2</xdr:col>
                    <xdr:colOff>1085850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西宮市上下水道局</vt:lpstr>
      <vt:lpstr>西宮市上下水道局!Print_Area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2018-01-11T08:04:38Z</cp:lastPrinted>
  <dcterms:created xsi:type="dcterms:W3CDTF">2017-08-25T02:14:01Z</dcterms:created>
  <dcterms:modified xsi:type="dcterms:W3CDTF">2019-08-07T05:33:29Z</dcterms:modified>
</cp:coreProperties>
</file>